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RTA\PPT\Communications\"/>
    </mc:Choice>
  </mc:AlternateContent>
  <bookViews>
    <workbookView xWindow="0" yWindow="0" windowWidth="25200" windowHeight="11688" activeTab="1"/>
  </bookViews>
  <sheets>
    <sheet name="Formula Factors" sheetId="1" r:id="rId1"/>
    <sheet name="Distribution Calculation" sheetId="2" r:id="rId2"/>
  </sheets>
  <definedNames>
    <definedName name="_xlnm.Print_Area" localSheetId="1">'Distribution Calculation'!$A$1:$D$140</definedName>
    <definedName name="_xlnm.Print_Area" localSheetId="0">'Formula Factors'!$A$1:$F$49</definedName>
    <definedName name="_xlnm.Print_Titles" localSheetId="1">'Distribution Calculation'!$1:$8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2" l="1"/>
  <c r="C119" i="2" l="1"/>
  <c r="C113" i="2"/>
  <c r="C109" i="2"/>
  <c r="E34" i="1"/>
  <c r="D34" i="1"/>
  <c r="C34" i="1"/>
  <c r="B34" i="1"/>
  <c r="E31" i="1"/>
  <c r="D31" i="1"/>
  <c r="C31" i="1"/>
  <c r="B31" i="1"/>
  <c r="C31" i="2"/>
  <c r="C54" i="2"/>
  <c r="D97" i="2" l="1"/>
  <c r="C88" i="2"/>
  <c r="C59" i="2" l="1"/>
  <c r="C47" i="2"/>
  <c r="C36" i="2"/>
  <c r="C18" i="2" l="1"/>
  <c r="F33" i="1"/>
  <c r="F30" i="1"/>
  <c r="F29" i="1"/>
  <c r="F28" i="1"/>
  <c r="F21" i="1"/>
  <c r="C53" i="2" s="1"/>
  <c r="F31" i="1" l="1"/>
  <c r="C112" i="2"/>
  <c r="D116" i="2" s="1"/>
  <c r="C65" i="2"/>
  <c r="C122" i="2"/>
  <c r="D124" i="2" s="1"/>
  <c r="C90" i="2"/>
  <c r="D93" i="2" s="1"/>
  <c r="F34" i="1"/>
  <c r="C11" i="2"/>
  <c r="E43" i="1"/>
  <c r="F43" i="1" s="1"/>
  <c r="F47" i="1" s="1"/>
  <c r="D25" i="2" s="1"/>
  <c r="E45" i="1"/>
  <c r="F45" i="1" s="1"/>
  <c r="E44" i="1"/>
  <c r="F44" i="1" s="1"/>
  <c r="C13" i="2"/>
  <c r="E46" i="1"/>
  <c r="F46" i="1" s="1"/>
  <c r="C20" i="2"/>
  <c r="D23" i="2" s="1"/>
  <c r="C82" i="2"/>
  <c r="C42" i="2"/>
  <c r="C30" i="2"/>
  <c r="D34" i="2" s="1"/>
  <c r="D39" i="2" s="1"/>
  <c r="D57" i="2"/>
  <c r="D62" i="2" s="1"/>
  <c r="F17" i="1"/>
  <c r="F13" i="1"/>
  <c r="D68" i="2" l="1"/>
  <c r="D73" i="2" s="1"/>
  <c r="D45" i="2"/>
  <c r="D50" i="2" s="1"/>
  <c r="D72" i="2" s="1"/>
  <c r="D16" i="2"/>
  <c r="D27" i="2" s="1"/>
  <c r="D103" i="2" s="1"/>
  <c r="C80" i="2"/>
  <c r="D85" i="2" s="1"/>
  <c r="D95" i="2" s="1"/>
  <c r="D99" i="2" s="1"/>
  <c r="D126" i="2" s="1"/>
  <c r="D76" i="2" l="1"/>
  <c r="D106" i="2" l="1"/>
  <c r="D129" i="2" s="1"/>
  <c r="D138" i="2" s="1"/>
  <c r="D140" i="2" l="1"/>
</calcChain>
</file>

<file path=xl/sharedStrings.xml><?xml version="1.0" encoding="utf-8"?>
<sst xmlns="http://schemas.openxmlformats.org/spreadsheetml/2006/main" count="182" uniqueCount="123">
  <si>
    <t>Calculated under the authority of 2014 Public Act 86</t>
  </si>
  <si>
    <t>Local Unit Name:</t>
  </si>
  <si>
    <t>Revenue Sharing Code:</t>
  </si>
  <si>
    <t>County Name:</t>
  </si>
  <si>
    <t>Formula Factors:</t>
  </si>
  <si>
    <t>2013-2014 Small Taxpayer Exemption Loss (STEL)</t>
  </si>
  <si>
    <t>2013-2015 Small Taxpayer Exemption Loss (STEL)</t>
  </si>
  <si>
    <t>MCL 123.1353(5)</t>
  </si>
  <si>
    <t>2016 Local Community Stabilization Share Revenue Distribution</t>
  </si>
  <si>
    <t>Example City</t>
  </si>
  <si>
    <t>90-2010</t>
  </si>
  <si>
    <t>Example County</t>
  </si>
  <si>
    <t>2013-2016 Personal Property Exemption Loss (PPEL)</t>
  </si>
  <si>
    <t>General Operating Millage</t>
  </si>
  <si>
    <t>Fire Millage</t>
  </si>
  <si>
    <t>Road Millage</t>
  </si>
  <si>
    <t>Sewer Debt Millage</t>
  </si>
  <si>
    <t>2013-2016 PPEL</t>
  </si>
  <si>
    <t>MCL 123.1354(1)(d)</t>
  </si>
  <si>
    <t>2016 Increased Value from Expired Tax Exemptions (Form 5403 and 5429)</t>
  </si>
  <si>
    <t>Percentage of General Operating Millage Used to Fund Essential Services (Form 5448)</t>
  </si>
  <si>
    <t>MCL 123.1354(1)(b)</t>
  </si>
  <si>
    <t>MCL 123.1345(m)</t>
  </si>
  <si>
    <t>2016 Increased Value from Expired Tax Exemptions</t>
  </si>
  <si>
    <t>MCL 123.1354(2)(a)</t>
  </si>
  <si>
    <t>Total TIF Plan Captured City Personal Property Tax Revenue to be Reimbursed to TIF Plan</t>
  </si>
  <si>
    <t>MCL 123.1354(2)(b)</t>
  </si>
  <si>
    <t>Unadjusted Loss Calculation:</t>
  </si>
  <si>
    <t>Unadjusted Loss Calculation</t>
  </si>
  <si>
    <t>MCL 123.1356a(2)(b)</t>
  </si>
  <si>
    <t>MCL 123.1356a(2)</t>
  </si>
  <si>
    <t xml:space="preserve">MCL 123.1354(2)(c) </t>
  </si>
  <si>
    <t>MCL 123.1354(2)(d)</t>
  </si>
  <si>
    <t>Percentage of General Operating Millage Used to Fund Essential Services</t>
  </si>
  <si>
    <t>General Operating Millage Portion Essential Services Distribution</t>
  </si>
  <si>
    <t>General Operating Millage Portion Essential Services Distribution Calculation:</t>
  </si>
  <si>
    <t>Restricted Operating (Essential Services) Millage Portion Essential Services Distribution Calculation:</t>
  </si>
  <si>
    <t xml:space="preserve">MCL 123.1354(2)(e) </t>
  </si>
  <si>
    <t>Restricted Operating (Essential Services) Millage Portion Essential Services Distribution</t>
  </si>
  <si>
    <t>2015 Small Taxpayer Exemption Loss Distribution Calculation:</t>
  </si>
  <si>
    <t>MCL 123.1354(4)(b)</t>
  </si>
  <si>
    <t>Total TIF Plan Captured City Personal Property Tax Revenue to be Reimbursed to TIF Plan Amount Unaccounted for in Unadjusted Loss Calculation</t>
  </si>
  <si>
    <t>Unadjusted 2015 STEL Distribution</t>
  </si>
  <si>
    <t>TOTAL 2015 STEL DISTRIBUTION</t>
  </si>
  <si>
    <t>Prorated Qualified Loss Distribution Calculation:</t>
  </si>
  <si>
    <t xml:space="preserve">MCL 123.1357(4)(c) </t>
  </si>
  <si>
    <t>Unknown</t>
  </si>
  <si>
    <t>Taxable Value Loss Factors:</t>
  </si>
  <si>
    <t>Millage Rate Factors:</t>
  </si>
  <si>
    <t>Millage Rate Levy Year:</t>
  </si>
  <si>
    <t>Subtotal Operating Millages</t>
  </si>
  <si>
    <t>Subtotal Debt Millages</t>
  </si>
  <si>
    <t>Percentage of General Operating Millage Used to Fund Essential Services:</t>
  </si>
  <si>
    <t>TIF Reimbursement Amount</t>
  </si>
  <si>
    <t>Lowest Millage Rate</t>
  </si>
  <si>
    <t>MCL 123.1345(s) &amp;
MCL 123.1354(1)(a)</t>
  </si>
  <si>
    <t>TIF Captured Value Adjustment for General Operating Millage</t>
  </si>
  <si>
    <t>Total Essential Services Distribution Calculation:</t>
  </si>
  <si>
    <t>MCL 123.1345(y)(ii) &amp;
MCL 123.1354(4)(a)</t>
  </si>
  <si>
    <r>
      <t>MCL 123.1354(2)(e) &amp;
MCL 123.1357(4)(a)(</t>
    </r>
    <r>
      <rPr>
        <i/>
        <sz val="10"/>
        <rFont val="Arial"/>
        <family val="2"/>
      </rPr>
      <t>iv</t>
    </r>
    <r>
      <rPr>
        <sz val="10"/>
        <rFont val="Arial"/>
        <family val="2"/>
      </rPr>
      <t>)</t>
    </r>
  </si>
  <si>
    <r>
      <t>MCL 123.1354(4)(d) &amp;
MCL 123.1357(4)(a)(</t>
    </r>
    <r>
      <rPr>
        <i/>
        <sz val="10"/>
        <rFont val="Arial"/>
        <family val="2"/>
      </rPr>
      <t>vi</t>
    </r>
    <r>
      <rPr>
        <sz val="10"/>
        <rFont val="Arial"/>
        <family val="2"/>
      </rPr>
      <t>)</t>
    </r>
  </si>
  <si>
    <t>MCL 123.1345(5)(u)</t>
  </si>
  <si>
    <t>Total 2015 STEL Distribution</t>
  </si>
  <si>
    <t>2013-2014 Renaissance Zone (RZ) STEL</t>
  </si>
  <si>
    <t>2013-2014 STEL without RZ STEL</t>
  </si>
  <si>
    <t>2013-2015 Renaissance Zone (RZ) STEL</t>
  </si>
  <si>
    <t>2013-2015 STEL without RZ STEL</t>
  </si>
  <si>
    <t>2013-2016 Renaissance Zone (RZ) PPEL</t>
  </si>
  <si>
    <t>2013-2016 PPEL without RZ PPEL</t>
  </si>
  <si>
    <t>TIF Captured Value Adjustment for Essential Services Millage</t>
  </si>
  <si>
    <t>Calculation Types:</t>
  </si>
  <si>
    <t>Tax Increment Finance (TIF) Plan Captured Personal Property Tax Revenue Reimbursed to TIF Plan (Forms 5176, 5176BR, 5176ICV):</t>
  </si>
  <si>
    <t>TIF Captured Value Loss</t>
  </si>
  <si>
    <t>[Lowest rate of each operating millage for 2012 through 2015]</t>
  </si>
  <si>
    <t>2016 Operating Millage Rate</t>
  </si>
  <si>
    <t>[(2013-2016 PPEL without RZ PPEL * 2016 Operating Millage Rate) / 1000]</t>
  </si>
  <si>
    <t>Subtotal 2016 Operating Millage Loss Calculation</t>
  </si>
  <si>
    <t>[Lowest rate of each debt millage for 2012 through 2015]</t>
  </si>
  <si>
    <t>2016 Debt Millage Rate</t>
  </si>
  <si>
    <t>[(2013-2016 PPEL * 2016 Debt Millage Rate) / 1000]</t>
  </si>
  <si>
    <t>Subtotal 2016 Debt Millage Loss Calculation</t>
  </si>
  <si>
    <t>[2013-2016 PPEL without RZ PPEL + 2016 Increased Value from Expired Tax Exemptions]</t>
  </si>
  <si>
    <t>Subtotal Essential Services Taxable Value Loss</t>
  </si>
  <si>
    <t>[Subtotal Essential Services Taxable Value Loss - TIF Captured Value Adjustment for General Operating Millage]</t>
  </si>
  <si>
    <t>General Operating Millage Essential Services Taxable Value Loss</t>
  </si>
  <si>
    <r>
      <t>2016 General Operating Millage Rate</t>
    </r>
    <r>
      <rPr>
        <sz val="10"/>
        <rFont val="Arial"/>
        <family val="2"/>
      </rPr>
      <t xml:space="preserve"> </t>
    </r>
  </si>
  <si>
    <t>[Lowest rate of general operating millage for 2012 through 2015]</t>
  </si>
  <si>
    <t>[General Operating Millage Essential Services Taxable Value Loss * 2016 General Operating Millage Rate]</t>
  </si>
  <si>
    <t>General Operating Millage Taxable Value Loss</t>
  </si>
  <si>
    <t>[General Operating Millage Taxable Value Loss * Percentage of General Operating Millage Used to Fund Essential Services]</t>
  </si>
  <si>
    <t>Legislative Reference:</t>
  </si>
  <si>
    <t xml:space="preserve">Restricted Operating Millage Essential Services Taxable Value Loss </t>
  </si>
  <si>
    <t>[Subtotal Essential Services Taxable Value Loss - TIF Captured Value Adjustment for Essential Services Millage]</t>
  </si>
  <si>
    <r>
      <t>2016 Restricted Essential Services Operating Millage Rate</t>
    </r>
    <r>
      <rPr>
        <sz val="10"/>
        <rFont val="Arial"/>
        <family val="2"/>
      </rPr>
      <t xml:space="preserve"> </t>
    </r>
  </si>
  <si>
    <t>[Lowest rate of restricted essential services operating millage for 2012 through 2015]</t>
  </si>
  <si>
    <t>[Restricted Operating Millage Essential Services Taxable Value Loss * 2016 Restricted Essential Services Operating Millage Rate]</t>
  </si>
  <si>
    <t>TOTAL ESSENTIAL SERVICES DISTRIBUTION</t>
  </si>
  <si>
    <t>[Lesser of Unadjusted Loss Calculation or (General Operating Millage Portion Essential Services Distribution + Restricted Operating (Essential Services) Millage Portion Essential Services Distribution)]</t>
  </si>
  <si>
    <t xml:space="preserve">2015 STEL without Renaissance Zone STEL (2015 STEL without RZ STEL) </t>
  </si>
  <si>
    <t>[Greater of 2013-2014 STEL without RZ STEL or 2013-2015 STEL without RZ STEL]</t>
  </si>
  <si>
    <r>
      <t>2016 Operating Millage Rate</t>
    </r>
    <r>
      <rPr>
        <sz val="10"/>
        <rFont val="Arial"/>
        <family val="2"/>
      </rPr>
      <t xml:space="preserve"> </t>
    </r>
  </si>
  <si>
    <t>Subtotal 2015 STEL Operating Millage Distribution</t>
  </si>
  <si>
    <t>[(2015 STEL without RZ STEL * 2016 Operating Millage Rate) / 1000]</t>
  </si>
  <si>
    <t>2015 STEL</t>
  </si>
  <si>
    <t>[Greater of 2013-2014 STEL or 2013-2015 STEL]</t>
  </si>
  <si>
    <r>
      <t>2016 Debt Millage Rate</t>
    </r>
    <r>
      <rPr>
        <sz val="10"/>
        <rFont val="Arial"/>
        <family val="2"/>
      </rPr>
      <t xml:space="preserve"> </t>
    </r>
  </si>
  <si>
    <t xml:space="preserve">Subtotal 2015 STEL Debt Millage Distribution </t>
  </si>
  <si>
    <t>[(2015 STEL * 2016 Operating Millage Rate) / 1000]</t>
  </si>
  <si>
    <t>Total Essential Services Distribution</t>
  </si>
  <si>
    <t>2016 Increased Value General Operating Millage Adjustment</t>
  </si>
  <si>
    <t xml:space="preserve"> [(2016 Increased Value from Expired Tax Exemptions * 2016 General Operating Millage Rate * Percentage of General Operating Millage Used to Fund Essential Services) / 1,000]</t>
  </si>
  <si>
    <t>2016 Increased Value General Operating Millage Adjustment:</t>
  </si>
  <si>
    <t>2016 Increased Value Restricted Operating Millage Adjustment:</t>
  </si>
  <si>
    <t>2016 Increased Value Restricted Operating (Essential Services) Millage Adjustment</t>
  </si>
  <si>
    <t>[(2016 Increased Value from Expired Tax Exemptions * 2016 Restricted Essential Services Operating Millage Rate) / 1,000]</t>
  </si>
  <si>
    <t>City's Qualified Loss</t>
  </si>
  <si>
    <t>[Unadjusted Loss Calculation - Total Essential Services Distribution + 2016 Increased Value General Operating Millage Adjustment + 2016 Increased Value Restricted Essential Services Operating Millage Adjustment - Total 2015 STEL Distribution]</t>
  </si>
  <si>
    <t>PRORATED QUALIFIED LOSS DISTRIBUTION</t>
  </si>
  <si>
    <t>[Remaining Local Community Stabilization Share Revenue * (City's Qualified Loss / Total Qualified Loss)]</t>
  </si>
  <si>
    <t>DRAFT</t>
  </si>
  <si>
    <t>City's Total Distribution if Qualified Loss is Reimbursed at 100%</t>
  </si>
  <si>
    <t>City's Total Distribution if Qualified Loss is Reimbursed at 95%</t>
  </si>
  <si>
    <t>City's Total Distribution if Qualified Loss is Reimbursed at 105%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</si>
</sst>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0.0000%"/>
    <numFmt numFmtId="166" formatCode="#,##0.0000"/>
  </numFmts>
  <fonts count="10" x14ac:knownFonts="1">
    <font>
      <sz val="10"/>
      <name val="Helv"/>
    </font>
    <font>
      <sz val="10"/>
      <name val="Helv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0" fontId="3" fillId="0" borderId="1" xfId="1" applyNumberFormat="1" applyFont="1" applyFill="1" applyBorder="1"/>
    <xf numFmtId="38" fontId="3" fillId="0" borderId="0" xfId="1" applyNumberFormat="1" applyFont="1" applyFill="1"/>
    <xf numFmtId="40" fontId="3" fillId="0" borderId="0" xfId="1" applyNumberFormat="1" applyFont="1" applyFill="1"/>
    <xf numFmtId="40" fontId="6" fillId="0" borderId="0" xfId="1" applyNumberFormat="1" applyFont="1" applyFill="1"/>
    <xf numFmtId="164" fontId="3" fillId="0" borderId="0" xfId="1" applyNumberFormat="1" applyFont="1" applyFill="1"/>
    <xf numFmtId="0" fontId="5" fillId="0" borderId="0" xfId="0" applyFont="1" applyFill="1"/>
    <xf numFmtId="164" fontId="5" fillId="0" borderId="0" xfId="0" applyNumberFormat="1" applyFont="1" applyFill="1" applyAlignment="1">
      <alignment horizontal="left" wrapText="1"/>
    </xf>
    <xf numFmtId="164" fontId="3" fillId="0" borderId="2" xfId="1" applyNumberFormat="1" applyFont="1" applyFill="1" applyBorder="1"/>
    <xf numFmtId="40" fontId="5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0" fontId="5" fillId="0" borderId="2" xfId="1" applyNumberFormat="1" applyFont="1" applyFill="1" applyBorder="1" applyAlignment="1">
      <alignment horizontal="center" wrapText="1"/>
    </xf>
    <xf numFmtId="40" fontId="3" fillId="0" borderId="0" xfId="1" applyNumberFormat="1" applyFont="1" applyFill="1" applyBorder="1"/>
    <xf numFmtId="0" fontId="3" fillId="0" borderId="0" xfId="0" applyFont="1" applyBorder="1"/>
    <xf numFmtId="40" fontId="3" fillId="0" borderId="0" xfId="0" applyNumberFormat="1" applyFont="1"/>
    <xf numFmtId="165" fontId="6" fillId="0" borderId="0" xfId="2" applyNumberFormat="1" applyFont="1" applyFill="1"/>
    <xf numFmtId="4" fontId="3" fillId="0" borderId="0" xfId="1" applyFont="1"/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4" fontId="3" fillId="0" borderId="1" xfId="0" applyNumberFormat="1" applyFont="1" applyBorder="1"/>
    <xf numFmtId="0" fontId="5" fillId="0" borderId="0" xfId="0" applyFont="1" applyFill="1" applyAlignment="1">
      <alignment wrapText="1"/>
    </xf>
    <xf numFmtId="40" fontId="5" fillId="0" borderId="3" xfId="0" applyNumberFormat="1" applyFont="1" applyBorder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38" fontId="3" fillId="0" borderId="0" xfId="1" applyNumberFormat="1" applyFont="1" applyFill="1" applyBorder="1"/>
    <xf numFmtId="0" fontId="3" fillId="0" borderId="2" xfId="0" applyFont="1" applyBorder="1" applyAlignment="1">
      <alignment horizontal="left"/>
    </xf>
    <xf numFmtId="166" fontId="3" fillId="0" borderId="0" xfId="1" applyNumberFormat="1" applyFont="1" applyFill="1" applyAlignment="1">
      <alignment horizontal="right" wrapText="1"/>
    </xf>
    <xf numFmtId="166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5" fillId="0" borderId="0" xfId="0" applyFont="1" applyFill="1" applyBorder="1"/>
    <xf numFmtId="40" fontId="8" fillId="0" borderId="2" xfId="1" applyNumberFormat="1" applyFont="1" applyFill="1" applyBorder="1" applyAlignment="1">
      <alignment horizontal="center" wrapText="1"/>
    </xf>
    <xf numFmtId="38" fontId="5" fillId="0" borderId="2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indent="2"/>
    </xf>
    <xf numFmtId="40" fontId="3" fillId="2" borderId="0" xfId="1" applyNumberFormat="1" applyFont="1" applyFill="1"/>
    <xf numFmtId="0" fontId="3" fillId="2" borderId="0" xfId="0" applyFont="1" applyFill="1"/>
    <xf numFmtId="40" fontId="3" fillId="2" borderId="2" xfId="1" applyNumberFormat="1" applyFont="1" applyFill="1" applyBorder="1"/>
    <xf numFmtId="40" fontId="5" fillId="2" borderId="0" xfId="0" applyNumberFormat="1" applyFont="1" applyFill="1" applyAlignment="1">
      <alignment horizontal="left" wrapText="1"/>
    </xf>
    <xf numFmtId="40" fontId="3" fillId="2" borderId="0" xfId="0" applyNumberFormat="1" applyFont="1" applyFill="1"/>
    <xf numFmtId="164" fontId="5" fillId="2" borderId="0" xfId="0" applyNumberFormat="1" applyFont="1" applyFill="1" applyAlignment="1">
      <alignment horizontal="left" wrapText="1"/>
    </xf>
    <xf numFmtId="164" fontId="3" fillId="2" borderId="2" xfId="1" applyNumberFormat="1" applyFont="1" applyFill="1" applyBorder="1"/>
    <xf numFmtId="164" fontId="3" fillId="2" borderId="0" xfId="1" applyNumberFormat="1" applyFont="1" applyFill="1" applyBorder="1"/>
    <xf numFmtId="4" fontId="3" fillId="2" borderId="0" xfId="1" applyFont="1" applyFill="1"/>
    <xf numFmtId="0" fontId="5" fillId="2" borderId="0" xfId="0" applyFont="1" applyFill="1" applyAlignment="1">
      <alignment wrapText="1"/>
    </xf>
    <xf numFmtId="165" fontId="3" fillId="2" borderId="2" xfId="2" applyNumberFormat="1" applyFont="1" applyFill="1" applyBorder="1"/>
    <xf numFmtId="4" fontId="5" fillId="2" borderId="3" xfId="1" applyFont="1" applyFill="1" applyBorder="1"/>
    <xf numFmtId="4" fontId="3" fillId="2" borderId="2" xfId="1" applyFont="1" applyFill="1" applyBorder="1"/>
    <xf numFmtId="4" fontId="5" fillId="2" borderId="0" xfId="1" applyFont="1" applyFill="1"/>
    <xf numFmtId="4" fontId="5" fillId="2" borderId="4" xfId="1" applyFont="1" applyFill="1" applyBorder="1"/>
    <xf numFmtId="40" fontId="3" fillId="2" borderId="0" xfId="1" applyNumberFormat="1" applyFont="1" applyFill="1" applyBorder="1"/>
    <xf numFmtId="0" fontId="3" fillId="2" borderId="0" xfId="0" applyFont="1" applyFill="1" applyAlignment="1">
      <alignment wrapText="1"/>
    </xf>
    <xf numFmtId="40" fontId="3" fillId="3" borderId="0" xfId="1" applyNumberFormat="1" applyFont="1" applyFill="1" applyBorder="1"/>
    <xf numFmtId="0" fontId="3" fillId="3" borderId="0" xfId="0" applyFont="1" applyFill="1" applyBorder="1"/>
    <xf numFmtId="164" fontId="5" fillId="3" borderId="0" xfId="0" applyNumberFormat="1" applyFont="1" applyFill="1" applyAlignment="1">
      <alignment horizontal="left" wrapText="1"/>
    </xf>
    <xf numFmtId="164" fontId="3" fillId="3" borderId="2" xfId="1" applyNumberFormat="1" applyFont="1" applyFill="1" applyBorder="1"/>
    <xf numFmtId="0" fontId="3" fillId="3" borderId="0" xfId="0" applyFont="1" applyFill="1"/>
    <xf numFmtId="40" fontId="5" fillId="3" borderId="0" xfId="0" applyNumberFormat="1" applyFont="1" applyFill="1" applyAlignment="1">
      <alignment horizontal="left" wrapText="1"/>
    </xf>
    <xf numFmtId="40" fontId="3" fillId="3" borderId="0" xfId="1" applyNumberFormat="1" applyFont="1" applyFill="1"/>
    <xf numFmtId="40" fontId="3" fillId="3" borderId="2" xfId="1" applyNumberFormat="1" applyFont="1" applyFill="1" applyBorder="1"/>
    <xf numFmtId="40" fontId="3" fillId="3" borderId="0" xfId="0" applyNumberFormat="1" applyFont="1" applyFill="1"/>
    <xf numFmtId="0" fontId="5" fillId="3" borderId="0" xfId="0" applyFont="1" applyFill="1" applyAlignment="1">
      <alignment wrapText="1"/>
    </xf>
    <xf numFmtId="40" fontId="3" fillId="2" borderId="0" xfId="0" applyNumberFormat="1" applyFont="1" applyFill="1" applyBorder="1"/>
    <xf numFmtId="164" fontId="3" fillId="2" borderId="2" xfId="0" applyNumberFormat="1" applyFont="1" applyFill="1" applyBorder="1"/>
    <xf numFmtId="2" fontId="3" fillId="2" borderId="0" xfId="0" applyNumberFormat="1" applyFont="1" applyFill="1"/>
    <xf numFmtId="40" fontId="3" fillId="2" borderId="2" xfId="0" applyNumberFormat="1" applyFont="1" applyFill="1" applyBorder="1"/>
    <xf numFmtId="40" fontId="5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164" fontId="3" fillId="0" borderId="0" xfId="0" applyNumberFormat="1" applyFont="1" applyFill="1" applyAlignment="1"/>
    <xf numFmtId="40" fontId="3" fillId="0" borderId="0" xfId="0" applyNumberFormat="1" applyFont="1" applyFill="1" applyAlignment="1">
      <alignment wrapText="1"/>
    </xf>
    <xf numFmtId="38" fontId="3" fillId="0" borderId="0" xfId="0" applyNumberFormat="1" applyFont="1" applyFill="1" applyBorder="1" applyAlignment="1">
      <alignment wrapText="1"/>
    </xf>
    <xf numFmtId="0" fontId="5" fillId="2" borderId="2" xfId="0" applyFont="1" applyFill="1" applyBorder="1" applyAlignment="1"/>
    <xf numFmtId="38" fontId="3" fillId="2" borderId="0" xfId="0" applyNumberFormat="1" applyFont="1" applyFill="1" applyBorder="1" applyAlignment="1">
      <alignment wrapText="1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5" fillId="2" borderId="0" xfId="0" applyFont="1" applyFill="1" applyAlignment="1"/>
    <xf numFmtId="40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5" fillId="3" borderId="2" xfId="0" applyFont="1" applyFill="1" applyBorder="1" applyAlignment="1"/>
    <xf numFmtId="38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/>
    <xf numFmtId="0" fontId="3" fillId="3" borderId="0" xfId="0" applyFont="1" applyFill="1" applyAlignment="1"/>
    <xf numFmtId="40" fontId="3" fillId="3" borderId="0" xfId="0" applyNumberFormat="1" applyFont="1" applyFill="1" applyAlignment="1">
      <alignment wrapText="1"/>
    </xf>
    <xf numFmtId="0" fontId="5" fillId="3" borderId="0" xfId="0" applyFont="1" applyFill="1" applyAlignment="1"/>
    <xf numFmtId="0" fontId="0" fillId="0" borderId="0" xfId="0" applyAlignment="1"/>
    <xf numFmtId="40" fontId="5" fillId="0" borderId="0" xfId="0" applyNumberFormat="1" applyFont="1" applyFill="1" applyAlignment="1">
      <alignment horizontal="left" vertical="top" wrapText="1"/>
    </xf>
    <xf numFmtId="166" fontId="3" fillId="0" borderId="0" xfId="1" applyNumberFormat="1" applyFont="1" applyFill="1" applyAlignment="1">
      <alignment horizontal="center" wrapText="1"/>
    </xf>
    <xf numFmtId="166" fontId="3" fillId="0" borderId="0" xfId="1" applyNumberFormat="1" applyFont="1" applyFill="1" applyAlignment="1">
      <alignment horizontal="center"/>
    </xf>
    <xf numFmtId="166" fontId="3" fillId="0" borderId="1" xfId="1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64" fontId="3" fillId="0" borderId="0" xfId="1" applyNumberFormat="1" applyFont="1" applyFill="1" applyBorder="1"/>
    <xf numFmtId="38" fontId="5" fillId="0" borderId="0" xfId="0" applyNumberFormat="1" applyFont="1" applyFill="1" applyBorder="1" applyAlignment="1">
      <alignment horizontal="left" vertical="center" wrapText="1"/>
    </xf>
    <xf numFmtId="40" fontId="3" fillId="0" borderId="0" xfId="1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left" wrapText="1"/>
    </xf>
    <xf numFmtId="40" fontId="3" fillId="0" borderId="0" xfId="0" applyNumberFormat="1" applyFont="1" applyFill="1" applyAlignment="1">
      <alignment horizontal="left" vertical="top" wrapText="1"/>
    </xf>
    <xf numFmtId="38" fontId="5" fillId="2" borderId="0" xfId="0" applyNumberFormat="1" applyFont="1" applyFill="1" applyBorder="1" applyAlignment="1">
      <alignment horizontal="left" vertical="center" wrapText="1"/>
    </xf>
    <xf numFmtId="40" fontId="3" fillId="2" borderId="0" xfId="1" applyNumberFormat="1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40" fontId="3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/>
    <xf numFmtId="40" fontId="3" fillId="0" borderId="2" xfId="1" applyNumberFormat="1" applyFont="1" applyFill="1" applyBorder="1"/>
    <xf numFmtId="40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horizontal="left" vertical="center" wrapText="1"/>
    </xf>
    <xf numFmtId="38" fontId="3" fillId="3" borderId="0" xfId="0" applyNumberFormat="1" applyFont="1" applyFill="1" applyAlignment="1">
      <alignment horizontal="left" wrapText="1"/>
    </xf>
    <xf numFmtId="38" fontId="3" fillId="3" borderId="0" xfId="0" applyNumberFormat="1" applyFont="1" applyFill="1" applyAlignment="1">
      <alignment vertical="center" wrapText="1"/>
    </xf>
    <xf numFmtId="38" fontId="5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/>
    <xf numFmtId="164" fontId="3" fillId="3" borderId="0" xfId="0" applyNumberFormat="1" applyFont="1" applyFill="1" applyAlignment="1">
      <alignment horizontal="left" wrapText="1"/>
    </xf>
    <xf numFmtId="40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40" fontId="3" fillId="3" borderId="0" xfId="1" applyNumberFormat="1" applyFont="1" applyFill="1" applyAlignment="1">
      <alignment vertical="center"/>
    </xf>
    <xf numFmtId="4" fontId="5" fillId="3" borderId="4" xfId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40" fontId="3" fillId="2" borderId="0" xfId="0" applyNumberFormat="1" applyFont="1" applyFill="1" applyAlignment="1"/>
    <xf numFmtId="165" fontId="3" fillId="2" borderId="0" xfId="2" applyNumberFormat="1" applyFont="1" applyFill="1" applyBorder="1"/>
    <xf numFmtId="164" fontId="5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" fontId="4" fillId="0" borderId="0" xfId="1" applyFont="1" applyAlignment="1">
      <alignment horizontal="right"/>
    </xf>
    <xf numFmtId="0" fontId="9" fillId="0" borderId="0" xfId="0" applyFont="1"/>
    <xf numFmtId="4" fontId="5" fillId="3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4"/>
  <sheetViews>
    <sheetView zoomScaleNormal="100" workbookViewId="0"/>
  </sheetViews>
  <sheetFormatPr defaultColWidth="9.109375" defaultRowHeight="13.2" x14ac:dyDescent="0.25"/>
  <cols>
    <col min="1" max="1" width="46.6640625" style="3" customWidth="1"/>
    <col min="2" max="5" width="13.88671875" style="2" customWidth="1"/>
    <col min="6" max="6" width="15" style="3" customWidth="1"/>
    <col min="7" max="16384" width="9.109375" style="3"/>
  </cols>
  <sheetData>
    <row r="1" spans="1:6" ht="17.399999999999999" x14ac:dyDescent="0.3">
      <c r="A1" s="1" t="s">
        <v>8</v>
      </c>
    </row>
    <row r="2" spans="1:6" ht="15.6" x14ac:dyDescent="0.3">
      <c r="A2" s="4" t="s">
        <v>0</v>
      </c>
    </row>
    <row r="3" spans="1:6" ht="21" x14ac:dyDescent="0.4">
      <c r="F3" s="150" t="s">
        <v>119</v>
      </c>
    </row>
    <row r="4" spans="1:6" x14ac:dyDescent="0.25">
      <c r="A4" s="6" t="s">
        <v>1</v>
      </c>
      <c r="B4" s="7" t="s">
        <v>9</v>
      </c>
      <c r="C4" s="3"/>
      <c r="D4" s="3"/>
      <c r="E4" s="3"/>
    </row>
    <row r="5" spans="1:6" x14ac:dyDescent="0.25">
      <c r="A5" s="6" t="s">
        <v>2</v>
      </c>
      <c r="B5" s="7" t="s">
        <v>10</v>
      </c>
      <c r="C5" s="3"/>
      <c r="D5" s="3"/>
      <c r="E5" s="3"/>
    </row>
    <row r="6" spans="1:6" x14ac:dyDescent="0.25">
      <c r="A6" s="6" t="s">
        <v>3</v>
      </c>
      <c r="B6" s="7" t="s">
        <v>11</v>
      </c>
      <c r="C6" s="3"/>
      <c r="D6" s="3"/>
      <c r="E6" s="3"/>
    </row>
    <row r="7" spans="1:6" x14ac:dyDescent="0.25">
      <c r="A7" s="5"/>
      <c r="B7" s="8"/>
      <c r="C7" s="5"/>
      <c r="D7" s="5"/>
      <c r="E7" s="5"/>
      <c r="F7" s="5"/>
    </row>
    <row r="8" spans="1:6" x14ac:dyDescent="0.25">
      <c r="A8" s="22" t="s">
        <v>4</v>
      </c>
      <c r="B8" s="39"/>
      <c r="C8" s="35"/>
      <c r="D8" s="35"/>
      <c r="E8" s="35"/>
      <c r="F8" s="35"/>
    </row>
    <row r="9" spans="1:6" x14ac:dyDescent="0.25">
      <c r="A9" s="9"/>
      <c r="C9" s="5"/>
      <c r="D9" s="5"/>
      <c r="E9" s="5"/>
      <c r="F9" s="5"/>
    </row>
    <row r="10" spans="1:6" x14ac:dyDescent="0.25">
      <c r="A10" s="9" t="s">
        <v>47</v>
      </c>
      <c r="C10" s="5"/>
      <c r="D10" s="5"/>
      <c r="E10" s="5"/>
      <c r="F10" s="5"/>
    </row>
    <row r="11" spans="1:6" s="25" customFormat="1" x14ac:dyDescent="0.25">
      <c r="A11" s="36" t="s">
        <v>5</v>
      </c>
      <c r="B11" s="37"/>
      <c r="C11" s="38"/>
      <c r="D11" s="38"/>
      <c r="E11" s="38"/>
      <c r="F11" s="24">
        <v>1150000</v>
      </c>
    </row>
    <row r="12" spans="1:6" s="25" customFormat="1" x14ac:dyDescent="0.25">
      <c r="A12" s="36" t="s">
        <v>63</v>
      </c>
      <c r="B12" s="37"/>
      <c r="C12" s="38"/>
      <c r="D12" s="38"/>
      <c r="E12" s="38"/>
      <c r="F12" s="24">
        <v>75000</v>
      </c>
    </row>
    <row r="13" spans="1:6" x14ac:dyDescent="0.25">
      <c r="A13" s="8" t="s">
        <v>64</v>
      </c>
      <c r="B13" s="3"/>
      <c r="C13" s="11"/>
      <c r="D13" s="11"/>
      <c r="E13" s="11"/>
      <c r="F13" s="10">
        <f>+F11-F12</f>
        <v>1075000</v>
      </c>
    </row>
    <row r="14" spans="1:6" x14ac:dyDescent="0.25">
      <c r="A14" s="8"/>
      <c r="B14" s="3"/>
      <c r="C14" s="11"/>
      <c r="D14" s="11"/>
      <c r="E14" s="11"/>
      <c r="F14" s="12"/>
    </row>
    <row r="15" spans="1:6" x14ac:dyDescent="0.25">
      <c r="A15" s="8" t="s">
        <v>6</v>
      </c>
      <c r="B15" s="3"/>
      <c r="C15" s="11"/>
      <c r="D15" s="11"/>
      <c r="E15" s="11"/>
      <c r="F15" s="12">
        <v>1200000</v>
      </c>
    </row>
    <row r="16" spans="1:6" x14ac:dyDescent="0.25">
      <c r="A16" s="8" t="s">
        <v>65</v>
      </c>
      <c r="B16" s="3"/>
      <c r="C16" s="11"/>
      <c r="D16" s="11"/>
      <c r="E16" s="11"/>
      <c r="F16" s="12">
        <v>150000</v>
      </c>
    </row>
    <row r="17" spans="1:6" x14ac:dyDescent="0.25">
      <c r="A17" s="8" t="s">
        <v>66</v>
      </c>
      <c r="B17" s="3"/>
      <c r="C17" s="11"/>
      <c r="D17" s="11"/>
      <c r="E17" s="11"/>
      <c r="F17" s="10">
        <f>+F15-F16</f>
        <v>1050000</v>
      </c>
    </row>
    <row r="18" spans="1:6" x14ac:dyDescent="0.25">
      <c r="A18" s="8"/>
      <c r="B18" s="3"/>
      <c r="C18" s="11"/>
      <c r="D18" s="11"/>
      <c r="E18" s="11"/>
      <c r="F18" s="12"/>
    </row>
    <row r="19" spans="1:6" x14ac:dyDescent="0.25">
      <c r="A19" s="8" t="s">
        <v>12</v>
      </c>
      <c r="B19" s="3"/>
      <c r="C19" s="11"/>
      <c r="D19" s="11"/>
      <c r="E19" s="11"/>
      <c r="F19" s="12">
        <v>15000000</v>
      </c>
    </row>
    <row r="20" spans="1:6" x14ac:dyDescent="0.25">
      <c r="A20" s="8" t="s">
        <v>67</v>
      </c>
      <c r="B20" s="3"/>
      <c r="C20" s="11"/>
      <c r="D20" s="11"/>
      <c r="E20" s="11"/>
      <c r="F20" s="12">
        <v>175000</v>
      </c>
    </row>
    <row r="21" spans="1:6" x14ac:dyDescent="0.25">
      <c r="A21" s="8" t="s">
        <v>68</v>
      </c>
      <c r="B21" s="3"/>
      <c r="C21" s="11"/>
      <c r="D21" s="11"/>
      <c r="E21" s="11"/>
      <c r="F21" s="10">
        <f>+F19-F20</f>
        <v>14825000</v>
      </c>
    </row>
    <row r="22" spans="1:6" x14ac:dyDescent="0.25">
      <c r="A22" s="5"/>
      <c r="B22" s="8"/>
      <c r="C22" s="11"/>
      <c r="D22" s="11"/>
      <c r="E22" s="11"/>
      <c r="F22" s="12"/>
    </row>
    <row r="23" spans="1:6" x14ac:dyDescent="0.25">
      <c r="A23" s="5" t="s">
        <v>19</v>
      </c>
      <c r="B23" s="8"/>
      <c r="C23" s="11"/>
      <c r="D23" s="11"/>
      <c r="E23" s="11"/>
      <c r="F23" s="12">
        <v>25000</v>
      </c>
    </row>
    <row r="24" spans="1:6" x14ac:dyDescent="0.25">
      <c r="A24" s="5"/>
      <c r="B24" s="8"/>
      <c r="C24" s="11"/>
      <c r="D24" s="11"/>
      <c r="E24" s="11"/>
      <c r="F24" s="12"/>
    </row>
    <row r="25" spans="1:6" x14ac:dyDescent="0.25">
      <c r="A25" s="5"/>
      <c r="B25" s="8"/>
      <c r="C25" s="11"/>
      <c r="D25" s="11"/>
      <c r="E25" s="11"/>
      <c r="F25" s="12"/>
    </row>
    <row r="26" spans="1:6" x14ac:dyDescent="0.25">
      <c r="A26" s="9" t="s">
        <v>48</v>
      </c>
      <c r="C26" s="5"/>
      <c r="D26" s="5"/>
      <c r="E26" s="5"/>
      <c r="F26" s="5"/>
    </row>
    <row r="27" spans="1:6" s="20" customFormat="1" ht="26.4" x14ac:dyDescent="0.25">
      <c r="A27" s="19" t="s">
        <v>49</v>
      </c>
      <c r="B27" s="34">
        <v>2012</v>
      </c>
      <c r="C27" s="34">
        <v>2013</v>
      </c>
      <c r="D27" s="34">
        <v>2014</v>
      </c>
      <c r="E27" s="34">
        <v>2015</v>
      </c>
      <c r="F27" s="23" t="s">
        <v>54</v>
      </c>
    </row>
    <row r="28" spans="1:6" x14ac:dyDescent="0.25">
      <c r="A28" s="5" t="s">
        <v>13</v>
      </c>
      <c r="B28" s="102">
        <v>7.12</v>
      </c>
      <c r="C28" s="103">
        <v>7.2</v>
      </c>
      <c r="D28" s="103">
        <v>5.2</v>
      </c>
      <c r="E28" s="103">
        <v>5.2</v>
      </c>
      <c r="F28" s="103">
        <f>MIN(B28:E28)</f>
        <v>5.2</v>
      </c>
    </row>
    <row r="29" spans="1:6" x14ac:dyDescent="0.25">
      <c r="A29" s="5" t="s">
        <v>14</v>
      </c>
      <c r="B29" s="102">
        <v>1.5</v>
      </c>
      <c r="C29" s="103">
        <v>1.5</v>
      </c>
      <c r="D29" s="103">
        <v>1.5</v>
      </c>
      <c r="E29" s="103">
        <v>1.5</v>
      </c>
      <c r="F29" s="103">
        <f>MIN(B29:E29)</f>
        <v>1.5</v>
      </c>
    </row>
    <row r="30" spans="1:6" x14ac:dyDescent="0.25">
      <c r="A30" s="5" t="s">
        <v>15</v>
      </c>
      <c r="B30" s="102">
        <v>0</v>
      </c>
      <c r="C30" s="103">
        <v>0</v>
      </c>
      <c r="D30" s="103">
        <v>2</v>
      </c>
      <c r="E30" s="103">
        <v>2</v>
      </c>
      <c r="F30" s="103">
        <f>MIN(B30:E30)</f>
        <v>0</v>
      </c>
    </row>
    <row r="31" spans="1:6" x14ac:dyDescent="0.25">
      <c r="A31" s="29" t="s">
        <v>50</v>
      </c>
      <c r="B31" s="104">
        <f>SUM(B28:B30)</f>
        <v>8.620000000000001</v>
      </c>
      <c r="C31" s="104">
        <f>SUM(C28:C30)</f>
        <v>8.6999999999999993</v>
      </c>
      <c r="D31" s="104">
        <f>SUM(D28:D30)</f>
        <v>8.6999999999999993</v>
      </c>
      <c r="E31" s="104">
        <f>SUM(E28:E30)</f>
        <v>8.6999999999999993</v>
      </c>
      <c r="F31" s="104">
        <f>SUM(F28:F30)</f>
        <v>6.7</v>
      </c>
    </row>
    <row r="32" spans="1:6" x14ac:dyDescent="0.25">
      <c r="A32" s="29"/>
      <c r="B32" s="105"/>
      <c r="C32" s="105"/>
      <c r="D32" s="105"/>
      <c r="E32" s="105"/>
      <c r="F32" s="105"/>
    </row>
    <row r="33" spans="1:6" x14ac:dyDescent="0.25">
      <c r="A33" s="5" t="s">
        <v>16</v>
      </c>
      <c r="B33" s="102">
        <v>0.28000000000000003</v>
      </c>
      <c r="C33" s="103">
        <v>0.27</v>
      </c>
      <c r="D33" s="103">
        <v>0.26</v>
      </c>
      <c r="E33" s="103">
        <v>0.25</v>
      </c>
      <c r="F33" s="103">
        <f>MIN(B33:E33)</f>
        <v>0.25</v>
      </c>
    </row>
    <row r="34" spans="1:6" x14ac:dyDescent="0.25">
      <c r="A34" s="29" t="s">
        <v>51</v>
      </c>
      <c r="B34" s="104">
        <f>+B33</f>
        <v>0.28000000000000003</v>
      </c>
      <c r="C34" s="104">
        <f>+C33</f>
        <v>0.27</v>
      </c>
      <c r="D34" s="104">
        <f>+D33</f>
        <v>0.26</v>
      </c>
      <c r="E34" s="104">
        <f>+E33</f>
        <v>0.25</v>
      </c>
      <c r="F34" s="104">
        <f>+F33</f>
        <v>0.25</v>
      </c>
    </row>
    <row r="35" spans="1:6" x14ac:dyDescent="0.25">
      <c r="A35" s="5"/>
      <c r="B35" s="40"/>
      <c r="C35" s="41"/>
      <c r="D35" s="41"/>
      <c r="E35" s="41"/>
      <c r="F35" s="42"/>
    </row>
    <row r="36" spans="1:6" x14ac:dyDescent="0.25">
      <c r="A36" s="5"/>
      <c r="B36" s="21"/>
      <c r="C36" s="21"/>
      <c r="D36" s="21"/>
      <c r="E36" s="21"/>
      <c r="F36" s="13"/>
    </row>
    <row r="37" spans="1:6" x14ac:dyDescent="0.25">
      <c r="A37" s="15" t="s">
        <v>52</v>
      </c>
      <c r="B37" s="21"/>
      <c r="C37" s="21"/>
      <c r="D37" s="21"/>
      <c r="E37" s="21"/>
      <c r="F37" s="13"/>
    </row>
    <row r="38" spans="1:6" x14ac:dyDescent="0.25">
      <c r="A38" s="5" t="s">
        <v>20</v>
      </c>
      <c r="B38" s="21"/>
      <c r="C38" s="21"/>
      <c r="D38" s="21"/>
      <c r="E38" s="21"/>
      <c r="F38" s="27">
        <v>0.20125499999999999</v>
      </c>
    </row>
    <row r="39" spans="1:6" x14ac:dyDescent="0.25">
      <c r="A39" s="5"/>
      <c r="B39" s="21"/>
      <c r="C39" s="21"/>
      <c r="D39" s="21"/>
      <c r="E39" s="21"/>
      <c r="F39" s="13"/>
    </row>
    <row r="40" spans="1:6" x14ac:dyDescent="0.25">
      <c r="A40" s="5"/>
      <c r="B40" s="21"/>
      <c r="C40" s="21"/>
      <c r="D40" s="21"/>
      <c r="E40" s="21"/>
      <c r="F40" s="13"/>
    </row>
    <row r="41" spans="1:6" x14ac:dyDescent="0.25">
      <c r="A41" s="43" t="s">
        <v>71</v>
      </c>
      <c r="B41" s="8"/>
      <c r="C41" s="11"/>
      <c r="D41" s="3"/>
      <c r="E41" s="3"/>
    </row>
    <row r="42" spans="1:6" ht="39.6" x14ac:dyDescent="0.25">
      <c r="A42" s="5"/>
      <c r="B42" s="8"/>
      <c r="C42" s="11"/>
      <c r="D42" s="45" t="s">
        <v>72</v>
      </c>
      <c r="E42" s="45" t="s">
        <v>54</v>
      </c>
      <c r="F42" s="44" t="s">
        <v>53</v>
      </c>
    </row>
    <row r="43" spans="1:6" x14ac:dyDescent="0.25">
      <c r="A43" s="29" t="s">
        <v>13</v>
      </c>
      <c r="B43" s="8"/>
      <c r="C43" s="14"/>
      <c r="D43" s="12">
        <v>285000</v>
      </c>
      <c r="E43" s="103">
        <f>+F28</f>
        <v>5.2</v>
      </c>
      <c r="F43" s="28">
        <f>ROUND(+D43*E43/1000,2)</f>
        <v>1482</v>
      </c>
    </row>
    <row r="44" spans="1:6" x14ac:dyDescent="0.25">
      <c r="A44" s="30" t="s">
        <v>14</v>
      </c>
      <c r="D44" s="12">
        <v>285000</v>
      </c>
      <c r="E44" s="103">
        <f>+F29</f>
        <v>1.5</v>
      </c>
      <c r="F44" s="28">
        <f>ROUND(+D44*E44/1000,2)</f>
        <v>427.5</v>
      </c>
    </row>
    <row r="45" spans="1:6" x14ac:dyDescent="0.25">
      <c r="A45" s="30" t="s">
        <v>15</v>
      </c>
      <c r="D45" s="12">
        <v>285000</v>
      </c>
      <c r="E45" s="103">
        <f>+F30</f>
        <v>0</v>
      </c>
      <c r="F45" s="28">
        <f>ROUND(+D45*E45/1000,2)</f>
        <v>0</v>
      </c>
    </row>
    <row r="46" spans="1:6" x14ac:dyDescent="0.25">
      <c r="A46" s="30" t="s">
        <v>16</v>
      </c>
      <c r="D46" s="12">
        <v>285000</v>
      </c>
      <c r="E46" s="103">
        <f>+F33</f>
        <v>0.25</v>
      </c>
      <c r="F46" s="28">
        <f>ROUND(+D46*E46/1000,2)</f>
        <v>71.25</v>
      </c>
    </row>
    <row r="47" spans="1:6" x14ac:dyDescent="0.25">
      <c r="A47" s="46" t="s">
        <v>25</v>
      </c>
      <c r="F47" s="31">
        <f>SUM(F43:F46)</f>
        <v>1980.75</v>
      </c>
    </row>
    <row r="156" spans="3:6" x14ac:dyDescent="0.25">
      <c r="C156" s="5"/>
      <c r="D156" s="5"/>
      <c r="E156" s="5"/>
      <c r="F156" s="5"/>
    </row>
    <row r="157" spans="3:6" x14ac:dyDescent="0.25">
      <c r="C157" s="5"/>
      <c r="D157" s="5"/>
      <c r="E157" s="5"/>
      <c r="F157" s="5"/>
    </row>
    <row r="158" spans="3:6" x14ac:dyDescent="0.25">
      <c r="C158" s="5"/>
      <c r="D158" s="5"/>
      <c r="E158" s="5"/>
      <c r="F158" s="5"/>
    </row>
    <row r="159" spans="3:6" x14ac:dyDescent="0.25">
      <c r="C159" s="5"/>
      <c r="D159" s="5"/>
      <c r="E159" s="5"/>
      <c r="F159" s="5"/>
    </row>
    <row r="160" spans="3:6" x14ac:dyDescent="0.25">
      <c r="C160" s="5"/>
      <c r="D160" s="5"/>
      <c r="E160" s="5"/>
      <c r="F160" s="5"/>
    </row>
    <row r="161" spans="3:6" x14ac:dyDescent="0.25">
      <c r="C161" s="5"/>
      <c r="D161" s="5"/>
      <c r="E161" s="5"/>
      <c r="F161" s="5"/>
    </row>
    <row r="162" spans="3:6" x14ac:dyDescent="0.25">
      <c r="C162" s="5"/>
      <c r="D162" s="5"/>
      <c r="E162" s="5"/>
      <c r="F162" s="5"/>
    </row>
    <row r="163" spans="3:6" x14ac:dyDescent="0.25">
      <c r="C163" s="5"/>
      <c r="D163" s="5"/>
      <c r="E163" s="5"/>
      <c r="F163" s="5"/>
    </row>
    <row r="164" spans="3:6" x14ac:dyDescent="0.25">
      <c r="C164" s="5"/>
      <c r="D164" s="5"/>
      <c r="E164" s="5"/>
      <c r="F164" s="5"/>
    </row>
    <row r="165" spans="3:6" x14ac:dyDescent="0.25">
      <c r="C165" s="5"/>
      <c r="D165" s="5"/>
      <c r="E165" s="5"/>
      <c r="F165" s="5"/>
    </row>
    <row r="166" spans="3:6" x14ac:dyDescent="0.25">
      <c r="C166" s="5"/>
      <c r="D166" s="5"/>
      <c r="E166" s="5"/>
      <c r="F166" s="5"/>
    </row>
    <row r="167" spans="3:6" x14ac:dyDescent="0.25">
      <c r="C167" s="5"/>
      <c r="D167" s="5"/>
      <c r="E167" s="5"/>
      <c r="F167" s="5"/>
    </row>
    <row r="168" spans="3:6" x14ac:dyDescent="0.25">
      <c r="C168" s="5"/>
      <c r="D168" s="5"/>
      <c r="E168" s="5"/>
      <c r="F168" s="5"/>
    </row>
    <row r="169" spans="3:6" x14ac:dyDescent="0.25">
      <c r="C169" s="5"/>
      <c r="D169" s="5"/>
      <c r="E169" s="5"/>
      <c r="F169" s="5"/>
    </row>
    <row r="170" spans="3:6" x14ac:dyDescent="0.25">
      <c r="C170" s="5"/>
      <c r="D170" s="5"/>
      <c r="E170" s="5"/>
      <c r="F170" s="5"/>
    </row>
    <row r="171" spans="3:6" x14ac:dyDescent="0.25">
      <c r="C171" s="5"/>
      <c r="D171" s="5"/>
      <c r="E171" s="5"/>
      <c r="F171" s="5"/>
    </row>
    <row r="172" spans="3:6" x14ac:dyDescent="0.25">
      <c r="C172" s="5"/>
      <c r="D172" s="5"/>
      <c r="E172" s="5"/>
      <c r="F172" s="5"/>
    </row>
    <row r="173" spans="3:6" x14ac:dyDescent="0.25">
      <c r="C173" s="5"/>
      <c r="D173" s="5"/>
      <c r="E173" s="5"/>
      <c r="F173" s="5"/>
    </row>
    <row r="174" spans="3:6" x14ac:dyDescent="0.25">
      <c r="C174" s="5"/>
      <c r="D174" s="5"/>
      <c r="E174" s="5"/>
      <c r="F174" s="5"/>
    </row>
    <row r="175" spans="3:6" x14ac:dyDescent="0.25">
      <c r="C175" s="5"/>
      <c r="D175" s="5"/>
      <c r="E175" s="5"/>
      <c r="F175" s="5"/>
    </row>
    <row r="176" spans="3:6" x14ac:dyDescent="0.25">
      <c r="C176" s="5"/>
      <c r="D176" s="5"/>
      <c r="E176" s="5"/>
      <c r="F176" s="5"/>
    </row>
    <row r="177" spans="3:6" x14ac:dyDescent="0.25">
      <c r="C177" s="5"/>
      <c r="D177" s="5"/>
      <c r="E177" s="5"/>
      <c r="F177" s="5"/>
    </row>
    <row r="178" spans="3:6" x14ac:dyDescent="0.25">
      <c r="C178" s="5"/>
      <c r="D178" s="5"/>
      <c r="E178" s="5"/>
      <c r="F178" s="5"/>
    </row>
    <row r="179" spans="3:6" x14ac:dyDescent="0.25">
      <c r="C179" s="5"/>
      <c r="D179" s="5"/>
      <c r="E179" s="5"/>
      <c r="F179" s="5"/>
    </row>
    <row r="180" spans="3:6" x14ac:dyDescent="0.25">
      <c r="C180" s="5"/>
      <c r="D180" s="5"/>
      <c r="E180" s="5"/>
      <c r="F180" s="5"/>
    </row>
    <row r="181" spans="3:6" x14ac:dyDescent="0.25">
      <c r="C181" s="5"/>
      <c r="D181" s="5"/>
      <c r="E181" s="5"/>
      <c r="F181" s="5"/>
    </row>
    <row r="182" spans="3:6" x14ac:dyDescent="0.25">
      <c r="C182" s="5"/>
      <c r="D182" s="5"/>
      <c r="E182" s="5"/>
      <c r="F182" s="5"/>
    </row>
    <row r="183" spans="3:6" x14ac:dyDescent="0.25">
      <c r="C183" s="5"/>
      <c r="D183" s="5"/>
      <c r="E183" s="5"/>
      <c r="F183" s="5"/>
    </row>
    <row r="184" spans="3:6" x14ac:dyDescent="0.25">
      <c r="C184" s="5"/>
      <c r="D184" s="5"/>
      <c r="E184" s="5"/>
      <c r="F184" s="5"/>
    </row>
    <row r="185" spans="3:6" x14ac:dyDescent="0.25">
      <c r="C185" s="5"/>
      <c r="D185" s="5"/>
      <c r="E185" s="5"/>
      <c r="F185" s="5"/>
    </row>
    <row r="186" spans="3:6" x14ac:dyDescent="0.25">
      <c r="C186" s="5"/>
      <c r="D186" s="5"/>
      <c r="E186" s="5"/>
      <c r="F186" s="5"/>
    </row>
    <row r="187" spans="3:6" x14ac:dyDescent="0.25">
      <c r="C187" s="5"/>
      <c r="D187" s="5"/>
      <c r="E187" s="5"/>
      <c r="F187" s="5"/>
    </row>
    <row r="188" spans="3:6" x14ac:dyDescent="0.25">
      <c r="C188" s="5"/>
      <c r="D188" s="5"/>
      <c r="E188" s="5"/>
      <c r="F188" s="5"/>
    </row>
    <row r="189" spans="3:6" x14ac:dyDescent="0.25">
      <c r="C189" s="5"/>
      <c r="D189" s="5"/>
      <c r="E189" s="5"/>
      <c r="F189" s="5"/>
    </row>
    <row r="190" spans="3:6" x14ac:dyDescent="0.25">
      <c r="C190" s="5"/>
      <c r="D190" s="5"/>
      <c r="E190" s="5"/>
      <c r="F190" s="5"/>
    </row>
    <row r="191" spans="3:6" x14ac:dyDescent="0.25">
      <c r="C191" s="5"/>
      <c r="D191" s="5"/>
      <c r="E191" s="5"/>
      <c r="F191" s="5"/>
    </row>
    <row r="192" spans="3:6" x14ac:dyDescent="0.25">
      <c r="C192" s="5"/>
      <c r="D192" s="5"/>
      <c r="E192" s="5"/>
      <c r="F192" s="5"/>
    </row>
    <row r="193" spans="3:6" x14ac:dyDescent="0.25">
      <c r="C193" s="5"/>
      <c r="D193" s="5"/>
      <c r="E193" s="5"/>
      <c r="F193" s="5"/>
    </row>
    <row r="194" spans="3:6" x14ac:dyDescent="0.25">
      <c r="C194" s="5"/>
      <c r="D194" s="5"/>
      <c r="E194" s="5"/>
      <c r="F194" s="5"/>
    </row>
    <row r="195" spans="3:6" x14ac:dyDescent="0.25">
      <c r="C195" s="5"/>
      <c r="D195" s="5"/>
      <c r="E195" s="5"/>
      <c r="F195" s="5"/>
    </row>
    <row r="196" spans="3:6" x14ac:dyDescent="0.25">
      <c r="C196" s="5"/>
      <c r="D196" s="5"/>
      <c r="E196" s="5"/>
      <c r="F196" s="5"/>
    </row>
    <row r="197" spans="3:6" x14ac:dyDescent="0.25">
      <c r="C197" s="5"/>
      <c r="D197" s="5"/>
      <c r="E197" s="5"/>
      <c r="F197" s="5"/>
    </row>
    <row r="198" spans="3:6" x14ac:dyDescent="0.25">
      <c r="C198" s="5"/>
      <c r="D198" s="5"/>
      <c r="E198" s="5"/>
      <c r="F198" s="5"/>
    </row>
    <row r="199" spans="3:6" x14ac:dyDescent="0.25">
      <c r="C199" s="5"/>
      <c r="D199" s="5"/>
      <c r="E199" s="5"/>
      <c r="F199" s="5"/>
    </row>
    <row r="200" spans="3:6" x14ac:dyDescent="0.25">
      <c r="C200" s="5"/>
      <c r="D200" s="5"/>
      <c r="E200" s="5"/>
      <c r="F200" s="5"/>
    </row>
    <row r="201" spans="3:6" x14ac:dyDescent="0.25">
      <c r="C201" s="5"/>
      <c r="D201" s="5"/>
      <c r="E201" s="5"/>
      <c r="F201" s="5"/>
    </row>
    <row r="202" spans="3:6" x14ac:dyDescent="0.25">
      <c r="C202" s="5"/>
      <c r="D202" s="5"/>
      <c r="E202" s="5"/>
      <c r="F202" s="5"/>
    </row>
    <row r="203" spans="3:6" x14ac:dyDescent="0.25">
      <c r="C203" s="5"/>
      <c r="D203" s="5"/>
      <c r="E203" s="5"/>
      <c r="F203" s="5"/>
    </row>
    <row r="204" spans="3:6" x14ac:dyDescent="0.25">
      <c r="C204" s="5"/>
      <c r="D204" s="5"/>
      <c r="E204" s="5"/>
      <c r="F204" s="5"/>
    </row>
    <row r="205" spans="3:6" x14ac:dyDescent="0.25">
      <c r="C205" s="5"/>
      <c r="D205" s="5"/>
      <c r="E205" s="5"/>
      <c r="F205" s="5"/>
    </row>
    <row r="206" spans="3:6" x14ac:dyDescent="0.25">
      <c r="C206" s="5"/>
      <c r="D206" s="5"/>
      <c r="E206" s="5"/>
      <c r="F206" s="5"/>
    </row>
    <row r="207" spans="3:6" x14ac:dyDescent="0.25">
      <c r="C207" s="5"/>
      <c r="D207" s="5"/>
      <c r="E207" s="5"/>
      <c r="F207" s="5"/>
    </row>
    <row r="208" spans="3:6" x14ac:dyDescent="0.25">
      <c r="C208" s="5"/>
      <c r="D208" s="5"/>
      <c r="E208" s="5"/>
      <c r="F208" s="5"/>
    </row>
    <row r="209" spans="3:6" x14ac:dyDescent="0.25">
      <c r="C209" s="5"/>
      <c r="D209" s="5"/>
      <c r="E209" s="5"/>
      <c r="F209" s="5"/>
    </row>
    <row r="210" spans="3:6" x14ac:dyDescent="0.25">
      <c r="C210" s="5"/>
      <c r="D210" s="5"/>
      <c r="E210" s="5"/>
      <c r="F210" s="5"/>
    </row>
    <row r="211" spans="3:6" x14ac:dyDescent="0.25">
      <c r="C211" s="5"/>
      <c r="D211" s="5"/>
      <c r="E211" s="5"/>
      <c r="F211" s="5"/>
    </row>
    <row r="212" spans="3:6" x14ac:dyDescent="0.25">
      <c r="C212" s="5"/>
      <c r="D212" s="5"/>
      <c r="E212" s="5"/>
      <c r="F212" s="5"/>
    </row>
    <row r="213" spans="3:6" x14ac:dyDescent="0.25">
      <c r="C213" s="5"/>
      <c r="D213" s="5"/>
      <c r="E213" s="5"/>
      <c r="F213" s="5"/>
    </row>
    <row r="214" spans="3:6" x14ac:dyDescent="0.25">
      <c r="C214" s="5"/>
      <c r="D214" s="5"/>
      <c r="E214" s="5"/>
      <c r="F214" s="5"/>
    </row>
    <row r="215" spans="3:6" x14ac:dyDescent="0.25">
      <c r="C215" s="5"/>
      <c r="D215" s="5"/>
      <c r="E215" s="5"/>
      <c r="F215" s="5"/>
    </row>
    <row r="216" spans="3:6" x14ac:dyDescent="0.25">
      <c r="C216" s="5"/>
      <c r="D216" s="5"/>
      <c r="E216" s="5"/>
      <c r="F216" s="5"/>
    </row>
    <row r="217" spans="3:6" x14ac:dyDescent="0.25">
      <c r="C217" s="5"/>
      <c r="D217" s="5"/>
      <c r="E217" s="5"/>
      <c r="F217" s="5"/>
    </row>
    <row r="218" spans="3:6" x14ac:dyDescent="0.25">
      <c r="C218" s="5"/>
      <c r="D218" s="5"/>
      <c r="E218" s="5"/>
      <c r="F218" s="5"/>
    </row>
    <row r="219" spans="3:6" x14ac:dyDescent="0.25">
      <c r="C219" s="5"/>
      <c r="D219" s="5"/>
      <c r="E219" s="5"/>
      <c r="F219" s="5"/>
    </row>
    <row r="220" spans="3:6" x14ac:dyDescent="0.25">
      <c r="C220" s="5"/>
      <c r="D220" s="5"/>
      <c r="E220" s="5"/>
      <c r="F220" s="5"/>
    </row>
    <row r="221" spans="3:6" x14ac:dyDescent="0.25">
      <c r="C221" s="5"/>
      <c r="D221" s="5"/>
      <c r="E221" s="5"/>
      <c r="F221" s="5"/>
    </row>
    <row r="222" spans="3:6" x14ac:dyDescent="0.25">
      <c r="C222" s="5"/>
      <c r="D222" s="5"/>
      <c r="E222" s="5"/>
      <c r="F222" s="5"/>
    </row>
    <row r="223" spans="3:6" x14ac:dyDescent="0.25">
      <c r="C223" s="5"/>
      <c r="D223" s="5"/>
      <c r="E223" s="5"/>
      <c r="F223" s="5"/>
    </row>
    <row r="224" spans="3:6" x14ac:dyDescent="0.25">
      <c r="C224" s="5"/>
      <c r="D224" s="5"/>
      <c r="E224" s="5"/>
      <c r="F224" s="5"/>
    </row>
    <row r="225" spans="3:6" x14ac:dyDescent="0.25">
      <c r="C225" s="5"/>
      <c r="D225" s="5"/>
      <c r="E225" s="5"/>
      <c r="F225" s="5"/>
    </row>
    <row r="226" spans="3:6" x14ac:dyDescent="0.25">
      <c r="C226" s="5"/>
      <c r="D226" s="5"/>
      <c r="E226" s="5"/>
      <c r="F226" s="5"/>
    </row>
    <row r="227" spans="3:6" x14ac:dyDescent="0.25">
      <c r="C227" s="5"/>
      <c r="D227" s="5"/>
      <c r="E227" s="5"/>
      <c r="F227" s="5"/>
    </row>
    <row r="228" spans="3:6" x14ac:dyDescent="0.25">
      <c r="C228" s="5"/>
      <c r="D228" s="5"/>
      <c r="E228" s="5"/>
      <c r="F228" s="5"/>
    </row>
    <row r="229" spans="3:6" x14ac:dyDescent="0.25">
      <c r="C229" s="5"/>
      <c r="D229" s="5"/>
      <c r="E229" s="5"/>
      <c r="F229" s="5"/>
    </row>
    <row r="230" spans="3:6" x14ac:dyDescent="0.25">
      <c r="C230" s="5"/>
      <c r="D230" s="5"/>
      <c r="E230" s="5"/>
      <c r="F230" s="5"/>
    </row>
    <row r="231" spans="3:6" x14ac:dyDescent="0.25">
      <c r="C231" s="5"/>
      <c r="D231" s="5"/>
      <c r="E231" s="5"/>
      <c r="F231" s="5"/>
    </row>
    <row r="232" spans="3:6" x14ac:dyDescent="0.25">
      <c r="C232" s="5"/>
      <c r="D232" s="5"/>
      <c r="E232" s="5"/>
      <c r="F232" s="5"/>
    </row>
    <row r="233" spans="3:6" x14ac:dyDescent="0.25">
      <c r="C233" s="5"/>
      <c r="D233" s="5"/>
      <c r="E233" s="5"/>
      <c r="F233" s="5"/>
    </row>
    <row r="234" spans="3:6" x14ac:dyDescent="0.25">
      <c r="C234" s="5"/>
      <c r="D234" s="5"/>
      <c r="E234" s="5"/>
      <c r="F234" s="5"/>
    </row>
    <row r="235" spans="3:6" x14ac:dyDescent="0.25">
      <c r="C235" s="5"/>
      <c r="D235" s="5"/>
      <c r="E235" s="5"/>
      <c r="F235" s="5"/>
    </row>
    <row r="236" spans="3:6" x14ac:dyDescent="0.25">
      <c r="C236" s="5"/>
      <c r="D236" s="5"/>
      <c r="E236" s="5"/>
      <c r="F236" s="5"/>
    </row>
    <row r="237" spans="3:6" x14ac:dyDescent="0.25">
      <c r="C237" s="5"/>
      <c r="D237" s="5"/>
      <c r="E237" s="5"/>
      <c r="F237" s="5"/>
    </row>
    <row r="238" spans="3:6" x14ac:dyDescent="0.25">
      <c r="C238" s="5"/>
      <c r="D238" s="5"/>
      <c r="E238" s="5"/>
      <c r="F238" s="5"/>
    </row>
    <row r="239" spans="3:6" x14ac:dyDescent="0.25">
      <c r="C239" s="5"/>
      <c r="D239" s="5"/>
      <c r="E239" s="5"/>
      <c r="F239" s="5"/>
    </row>
    <row r="240" spans="3:6" x14ac:dyDescent="0.25">
      <c r="C240" s="5"/>
      <c r="D240" s="5"/>
      <c r="E240" s="5"/>
      <c r="F240" s="5"/>
    </row>
    <row r="241" spans="3:6" x14ac:dyDescent="0.25">
      <c r="C241" s="5"/>
      <c r="D241" s="5"/>
      <c r="E241" s="5"/>
      <c r="F241" s="5"/>
    </row>
    <row r="242" spans="3:6" x14ac:dyDescent="0.25">
      <c r="C242" s="5"/>
      <c r="D242" s="5"/>
      <c r="E242" s="5"/>
      <c r="F242" s="5"/>
    </row>
    <row r="243" spans="3:6" x14ac:dyDescent="0.25">
      <c r="C243" s="5"/>
      <c r="D243" s="5"/>
      <c r="E243" s="5"/>
      <c r="F243" s="5"/>
    </row>
    <row r="244" spans="3:6" x14ac:dyDescent="0.25">
      <c r="C244" s="5"/>
      <c r="D244" s="5"/>
      <c r="E244" s="5"/>
      <c r="F244" s="5"/>
    </row>
    <row r="245" spans="3:6" x14ac:dyDescent="0.25">
      <c r="C245" s="5"/>
      <c r="D245" s="5"/>
      <c r="E245" s="5"/>
      <c r="F245" s="5"/>
    </row>
    <row r="246" spans="3:6" x14ac:dyDescent="0.25">
      <c r="C246" s="5"/>
      <c r="D246" s="5"/>
      <c r="E246" s="5"/>
      <c r="F246" s="5"/>
    </row>
    <row r="247" spans="3:6" x14ac:dyDescent="0.25">
      <c r="C247" s="5"/>
      <c r="D247" s="5"/>
      <c r="E247" s="5"/>
      <c r="F247" s="5"/>
    </row>
    <row r="248" spans="3:6" x14ac:dyDescent="0.25">
      <c r="C248" s="5"/>
      <c r="D248" s="5"/>
      <c r="E248" s="5"/>
      <c r="F248" s="5"/>
    </row>
    <row r="249" spans="3:6" x14ac:dyDescent="0.25">
      <c r="C249" s="5"/>
      <c r="D249" s="5"/>
      <c r="E249" s="5"/>
      <c r="F249" s="5"/>
    </row>
    <row r="250" spans="3:6" x14ac:dyDescent="0.25">
      <c r="C250" s="5"/>
      <c r="D250" s="5"/>
      <c r="E250" s="5"/>
      <c r="F250" s="5"/>
    </row>
    <row r="251" spans="3:6" x14ac:dyDescent="0.25">
      <c r="C251" s="5"/>
      <c r="D251" s="5"/>
      <c r="E251" s="5"/>
      <c r="F251" s="5"/>
    </row>
    <row r="252" spans="3:6" x14ac:dyDescent="0.25">
      <c r="C252" s="5"/>
      <c r="D252" s="5"/>
      <c r="E252" s="5"/>
      <c r="F252" s="5"/>
    </row>
    <row r="253" spans="3:6" x14ac:dyDescent="0.25">
      <c r="C253" s="5"/>
      <c r="D253" s="5"/>
      <c r="E253" s="5"/>
      <c r="F253" s="5"/>
    </row>
    <row r="254" spans="3:6" x14ac:dyDescent="0.25">
      <c r="C254" s="5"/>
      <c r="D254" s="5"/>
      <c r="E254" s="5"/>
      <c r="F254" s="5"/>
    </row>
    <row r="255" spans="3:6" x14ac:dyDescent="0.25">
      <c r="C255" s="5"/>
      <c r="D255" s="5"/>
      <c r="E255" s="5"/>
      <c r="F255" s="5"/>
    </row>
    <row r="256" spans="3:6" x14ac:dyDescent="0.25">
      <c r="C256" s="5"/>
      <c r="D256" s="5"/>
      <c r="E256" s="5"/>
      <c r="F256" s="5"/>
    </row>
    <row r="257" spans="3:6" x14ac:dyDescent="0.25">
      <c r="C257" s="5"/>
      <c r="D257" s="5"/>
      <c r="E257" s="5"/>
      <c r="F257" s="5"/>
    </row>
    <row r="258" spans="3:6" x14ac:dyDescent="0.25">
      <c r="C258" s="5"/>
      <c r="D258" s="5"/>
      <c r="E258" s="5"/>
      <c r="F258" s="5"/>
    </row>
    <row r="259" spans="3:6" x14ac:dyDescent="0.25">
      <c r="C259" s="5"/>
      <c r="D259" s="5"/>
      <c r="E259" s="5"/>
      <c r="F259" s="5"/>
    </row>
    <row r="260" spans="3:6" x14ac:dyDescent="0.25">
      <c r="C260" s="5"/>
      <c r="D260" s="5"/>
      <c r="E260" s="5"/>
      <c r="F260" s="5"/>
    </row>
    <row r="261" spans="3:6" x14ac:dyDescent="0.25">
      <c r="C261" s="5"/>
      <c r="D261" s="5"/>
      <c r="E261" s="5"/>
      <c r="F261" s="5"/>
    </row>
    <row r="262" spans="3:6" x14ac:dyDescent="0.25">
      <c r="C262" s="5"/>
      <c r="D262" s="5"/>
      <c r="E262" s="5"/>
      <c r="F262" s="5"/>
    </row>
    <row r="263" spans="3:6" x14ac:dyDescent="0.25">
      <c r="C263" s="5"/>
      <c r="D263" s="5"/>
      <c r="E263" s="5"/>
      <c r="F263" s="5"/>
    </row>
    <row r="264" spans="3:6" x14ac:dyDescent="0.25">
      <c r="C264" s="5"/>
      <c r="D264" s="5"/>
      <c r="E264" s="5"/>
      <c r="F264" s="5"/>
    </row>
    <row r="265" spans="3:6" x14ac:dyDescent="0.25">
      <c r="C265" s="5"/>
      <c r="D265" s="5"/>
      <c r="E265" s="5"/>
      <c r="F265" s="5"/>
    </row>
    <row r="266" spans="3:6" x14ac:dyDescent="0.25">
      <c r="C266" s="5"/>
      <c r="D266" s="5"/>
      <c r="E266" s="5"/>
      <c r="F266" s="5"/>
    </row>
    <row r="267" spans="3:6" x14ac:dyDescent="0.25">
      <c r="C267" s="5"/>
      <c r="D267" s="5"/>
      <c r="E267" s="5"/>
      <c r="F267" s="5"/>
    </row>
    <row r="268" spans="3:6" x14ac:dyDescent="0.25">
      <c r="C268" s="5"/>
      <c r="D268" s="5"/>
      <c r="E268" s="5"/>
      <c r="F268" s="5"/>
    </row>
    <row r="269" spans="3:6" x14ac:dyDescent="0.25">
      <c r="C269" s="5"/>
      <c r="D269" s="5"/>
      <c r="E269" s="5"/>
      <c r="F269" s="5"/>
    </row>
    <row r="270" spans="3:6" x14ac:dyDescent="0.25">
      <c r="C270" s="5"/>
      <c r="D270" s="5"/>
      <c r="E270" s="5"/>
      <c r="F270" s="5"/>
    </row>
    <row r="271" spans="3:6" x14ac:dyDescent="0.25">
      <c r="C271" s="5"/>
      <c r="D271" s="5"/>
      <c r="E271" s="5"/>
      <c r="F271" s="5"/>
    </row>
    <row r="272" spans="3:6" x14ac:dyDescent="0.25">
      <c r="C272" s="5"/>
      <c r="D272" s="5"/>
      <c r="E272" s="5"/>
      <c r="F272" s="5"/>
    </row>
    <row r="273" spans="3:6" x14ac:dyDescent="0.25">
      <c r="C273" s="5"/>
      <c r="D273" s="5"/>
      <c r="E273" s="5"/>
      <c r="F273" s="5"/>
    </row>
    <row r="274" spans="3:6" x14ac:dyDescent="0.25">
      <c r="C274" s="5"/>
      <c r="D274" s="5"/>
      <c r="E274" s="5"/>
      <c r="F274" s="5"/>
    </row>
    <row r="275" spans="3:6" x14ac:dyDescent="0.25">
      <c r="C275" s="5"/>
      <c r="D275" s="5"/>
      <c r="E275" s="5"/>
      <c r="F275" s="5"/>
    </row>
    <row r="276" spans="3:6" x14ac:dyDescent="0.25">
      <c r="C276" s="5"/>
      <c r="D276" s="5"/>
      <c r="E276" s="5"/>
      <c r="F276" s="5"/>
    </row>
    <row r="277" spans="3:6" x14ac:dyDescent="0.25">
      <c r="C277" s="5"/>
      <c r="D277" s="5"/>
      <c r="E277" s="5"/>
      <c r="F277" s="5"/>
    </row>
    <row r="278" spans="3:6" x14ac:dyDescent="0.25">
      <c r="C278" s="5"/>
      <c r="D278" s="5"/>
      <c r="E278" s="5"/>
      <c r="F278" s="5"/>
    </row>
    <row r="279" spans="3:6" x14ac:dyDescent="0.25">
      <c r="C279" s="5"/>
      <c r="D279" s="5"/>
      <c r="E279" s="5"/>
      <c r="F279" s="5"/>
    </row>
    <row r="280" spans="3:6" x14ac:dyDescent="0.25">
      <c r="C280" s="5"/>
      <c r="D280" s="5"/>
      <c r="E280" s="5"/>
      <c r="F280" s="5"/>
    </row>
    <row r="281" spans="3:6" x14ac:dyDescent="0.25">
      <c r="C281" s="5"/>
      <c r="D281" s="5"/>
      <c r="E281" s="5"/>
      <c r="F281" s="5"/>
    </row>
    <row r="282" spans="3:6" x14ac:dyDescent="0.25">
      <c r="C282" s="5"/>
      <c r="D282" s="5"/>
      <c r="E282" s="5"/>
      <c r="F282" s="5"/>
    </row>
    <row r="283" spans="3:6" x14ac:dyDescent="0.25">
      <c r="C283" s="5"/>
      <c r="D283" s="5"/>
      <c r="E283" s="5"/>
      <c r="F283" s="5"/>
    </row>
    <row r="284" spans="3:6" x14ac:dyDescent="0.25">
      <c r="C284" s="5"/>
      <c r="D284" s="5"/>
      <c r="E284" s="5"/>
      <c r="F284" s="5"/>
    </row>
    <row r="285" spans="3:6" x14ac:dyDescent="0.25">
      <c r="C285" s="5"/>
      <c r="D285" s="5"/>
      <c r="E285" s="5"/>
      <c r="F285" s="5"/>
    </row>
    <row r="286" spans="3:6" x14ac:dyDescent="0.25">
      <c r="F286" s="5"/>
    </row>
    <row r="287" spans="3:6" x14ac:dyDescent="0.25">
      <c r="F287" s="5"/>
    </row>
    <row r="288" spans="3:6" x14ac:dyDescent="0.25">
      <c r="F288" s="5"/>
    </row>
    <row r="289" spans="6:6" x14ac:dyDescent="0.25">
      <c r="F289" s="5"/>
    </row>
    <row r="290" spans="6:6" x14ac:dyDescent="0.25">
      <c r="F290" s="5"/>
    </row>
    <row r="291" spans="6:6" x14ac:dyDescent="0.25">
      <c r="F291" s="5"/>
    </row>
    <row r="292" spans="6:6" x14ac:dyDescent="0.25">
      <c r="F292" s="5"/>
    </row>
    <row r="293" spans="6:6" x14ac:dyDescent="0.25">
      <c r="F293" s="5"/>
    </row>
    <row r="294" spans="6:6" x14ac:dyDescent="0.25">
      <c r="F294" s="5"/>
    </row>
  </sheetData>
  <pageMargins left="0.25" right="0.25" top="0.75" bottom="0.75" header="0.3" footer="0.3"/>
  <pageSetup scale="88" orientation="portrait" r:id="rId1"/>
  <headerFooter>
    <oddFooter>&amp;LMichigan Department of Treasury&amp;C&amp;A&amp;RPage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topLeftCell="A52" zoomScaleNormal="100" zoomScaleSheetLayoutView="70" workbookViewId="0">
      <selection activeCell="B27" sqref="B27"/>
    </sheetView>
  </sheetViews>
  <sheetFormatPr defaultRowHeight="12.6" x14ac:dyDescent="0.25"/>
  <cols>
    <col min="1" max="1" width="21" style="100" customWidth="1"/>
    <col min="2" max="2" width="56.109375" style="100" customWidth="1"/>
    <col min="3" max="4" width="13.44140625" bestFit="1" customWidth="1"/>
  </cols>
  <sheetData>
    <row r="1" spans="1:4" s="3" customFormat="1" ht="17.399999999999999" x14ac:dyDescent="0.3">
      <c r="A1" s="79" t="s">
        <v>8</v>
      </c>
      <c r="B1" s="2"/>
      <c r="C1" s="2"/>
    </row>
    <row r="2" spans="1:4" s="3" customFormat="1" ht="15.6" x14ac:dyDescent="0.3">
      <c r="A2" s="81" t="s">
        <v>0</v>
      </c>
      <c r="B2" s="2"/>
      <c r="C2" s="2"/>
    </row>
    <row r="3" spans="1:4" s="3" customFormat="1" ht="21" x14ac:dyDescent="0.4">
      <c r="A3" s="80"/>
      <c r="B3" s="2"/>
      <c r="C3" s="2"/>
      <c r="D3" s="150" t="s">
        <v>119</v>
      </c>
    </row>
    <row r="4" spans="1:4" s="3" customFormat="1" ht="13.2" x14ac:dyDescent="0.25">
      <c r="A4" s="6" t="s">
        <v>1</v>
      </c>
      <c r="B4" s="7" t="s">
        <v>9</v>
      </c>
    </row>
    <row r="5" spans="1:4" s="3" customFormat="1" ht="13.2" x14ac:dyDescent="0.25">
      <c r="A5" s="6" t="s">
        <v>2</v>
      </c>
      <c r="B5" s="7" t="s">
        <v>10</v>
      </c>
    </row>
    <row r="6" spans="1:4" s="3" customFormat="1" ht="13.2" x14ac:dyDescent="0.25">
      <c r="A6" s="6" t="s">
        <v>3</v>
      </c>
      <c r="B6" s="7" t="s">
        <v>11</v>
      </c>
    </row>
    <row r="7" spans="1:4" s="3" customFormat="1" ht="13.2" x14ac:dyDescent="0.25">
      <c r="A7" s="82"/>
      <c r="B7" s="8"/>
      <c r="C7" s="5"/>
      <c r="D7" s="5"/>
    </row>
    <row r="8" spans="1:4" s="3" customFormat="1" ht="13.2" x14ac:dyDescent="0.25">
      <c r="A8" s="83" t="s">
        <v>90</v>
      </c>
      <c r="B8" s="9" t="s">
        <v>70</v>
      </c>
      <c r="C8" s="12"/>
    </row>
    <row r="9" spans="1:4" s="3" customFormat="1" ht="13.2" x14ac:dyDescent="0.25">
      <c r="A9" s="119"/>
      <c r="B9" s="120"/>
      <c r="C9" s="24"/>
      <c r="D9" s="25"/>
    </row>
    <row r="10" spans="1:4" s="3" customFormat="1" ht="13.2" x14ac:dyDescent="0.25">
      <c r="A10" s="121"/>
      <c r="B10" s="22" t="s">
        <v>27</v>
      </c>
      <c r="C10" s="122"/>
      <c r="D10" s="35"/>
    </row>
    <row r="11" spans="1:4" s="3" customFormat="1" ht="26.4" x14ac:dyDescent="0.25">
      <c r="A11" s="86" t="s">
        <v>55</v>
      </c>
      <c r="B11" s="108" t="s">
        <v>68</v>
      </c>
      <c r="C11" s="109">
        <f>+'Formula Factors'!F21</f>
        <v>14825000</v>
      </c>
      <c r="D11" s="25"/>
    </row>
    <row r="12" spans="1:4" s="3" customFormat="1" ht="13.2" x14ac:dyDescent="0.25">
      <c r="A12" s="84" t="s">
        <v>7</v>
      </c>
      <c r="B12" s="16" t="s">
        <v>74</v>
      </c>
    </row>
    <row r="13" spans="1:4" s="3" customFormat="1" ht="12.75" customHeight="1" x14ac:dyDescent="0.25">
      <c r="A13" s="84"/>
      <c r="B13" s="110" t="s">
        <v>73</v>
      </c>
      <c r="C13" s="17">
        <f>+'Formula Factors'!F28+'Formula Factors'!F29+'Formula Factors'!F30</f>
        <v>6.7</v>
      </c>
    </row>
    <row r="14" spans="1:4" s="3" customFormat="1" ht="12.75" customHeight="1" x14ac:dyDescent="0.25">
      <c r="A14" s="84"/>
      <c r="B14" s="110"/>
      <c r="C14" s="107"/>
    </row>
    <row r="15" spans="1:4" s="3" customFormat="1" ht="13.2" x14ac:dyDescent="0.25">
      <c r="A15" s="85" t="s">
        <v>21</v>
      </c>
      <c r="B15" s="18" t="s">
        <v>76</v>
      </c>
    </row>
    <row r="16" spans="1:4" s="3" customFormat="1" ht="26.4" x14ac:dyDescent="0.25">
      <c r="A16" s="84"/>
      <c r="B16" s="110" t="s">
        <v>75</v>
      </c>
      <c r="C16" s="107"/>
      <c r="D16" s="12">
        <f>MAX(ROUND((C11*C13)/1000,2),0)</f>
        <v>99327.5</v>
      </c>
    </row>
    <row r="17" spans="1:4" s="3" customFormat="1" ht="13.2" x14ac:dyDescent="0.25">
      <c r="A17" s="85"/>
      <c r="B17" s="18"/>
      <c r="C17" s="12"/>
    </row>
    <row r="18" spans="1:4" s="3" customFormat="1" ht="26.4" x14ac:dyDescent="0.25">
      <c r="A18" s="86" t="s">
        <v>55</v>
      </c>
      <c r="B18" s="108" t="s">
        <v>17</v>
      </c>
      <c r="C18" s="109">
        <f>+'Formula Factors'!F19</f>
        <v>15000000</v>
      </c>
      <c r="D18" s="25"/>
    </row>
    <row r="19" spans="1:4" s="3" customFormat="1" ht="13.2" x14ac:dyDescent="0.25">
      <c r="A19" s="84" t="s">
        <v>7</v>
      </c>
      <c r="B19" s="16" t="s">
        <v>78</v>
      </c>
    </row>
    <row r="20" spans="1:4" s="3" customFormat="1" ht="12.75" customHeight="1" x14ac:dyDescent="0.25">
      <c r="A20" s="84"/>
      <c r="B20" s="110" t="s">
        <v>77</v>
      </c>
      <c r="C20" s="17">
        <f>+'Formula Factors'!F33</f>
        <v>0.25</v>
      </c>
    </row>
    <row r="21" spans="1:4" s="3" customFormat="1" ht="12.75" customHeight="1" x14ac:dyDescent="0.25">
      <c r="A21" s="84"/>
      <c r="B21" s="110"/>
      <c r="C21" s="107"/>
    </row>
    <row r="22" spans="1:4" s="3" customFormat="1" ht="13.2" x14ac:dyDescent="0.25">
      <c r="A22" s="85" t="s">
        <v>21</v>
      </c>
      <c r="B22" s="101" t="s">
        <v>80</v>
      </c>
    </row>
    <row r="23" spans="1:4" s="3" customFormat="1" ht="13.2" x14ac:dyDescent="0.25">
      <c r="A23" s="85"/>
      <c r="B23" s="111" t="s">
        <v>79</v>
      </c>
      <c r="D23" s="12">
        <f>MAX(ROUND((C18*C20)/1000,2),0)</f>
        <v>3750</v>
      </c>
    </row>
    <row r="24" spans="1:4" s="3" customFormat="1" ht="13.2" x14ac:dyDescent="0.25">
      <c r="A24" s="85"/>
      <c r="B24" s="18"/>
      <c r="C24" s="12"/>
    </row>
    <row r="25" spans="1:4" s="3" customFormat="1" ht="26.4" x14ac:dyDescent="0.25">
      <c r="A25" s="106" t="s">
        <v>30</v>
      </c>
      <c r="B25" s="32" t="s">
        <v>25</v>
      </c>
      <c r="C25" s="12"/>
      <c r="D25" s="26">
        <f>-'Formula Factors'!F47</f>
        <v>-1980.75</v>
      </c>
    </row>
    <row r="26" spans="1:4" s="3" customFormat="1" ht="13.2" x14ac:dyDescent="0.25">
      <c r="A26" s="85"/>
      <c r="B26" s="18"/>
      <c r="C26" s="12"/>
    </row>
    <row r="27" spans="1:4" s="3" customFormat="1" ht="13.8" thickBot="1" x14ac:dyDescent="0.3">
      <c r="A27" s="85" t="s">
        <v>18</v>
      </c>
      <c r="B27" s="18" t="s">
        <v>28</v>
      </c>
      <c r="C27" s="12"/>
      <c r="D27" s="33">
        <f>SUM(D16:D25)</f>
        <v>101096.75</v>
      </c>
    </row>
    <row r="28" spans="1:4" s="3" customFormat="1" ht="18" customHeight="1" thickTop="1" x14ac:dyDescent="0.25">
      <c r="A28" s="85"/>
      <c r="B28" s="80"/>
      <c r="C28" s="12"/>
    </row>
    <row r="29" spans="1:4" s="3" customFormat="1" ht="13.2" x14ac:dyDescent="0.25">
      <c r="A29" s="87"/>
      <c r="B29" s="152" t="s">
        <v>35</v>
      </c>
      <c r="C29" s="152"/>
      <c r="D29" s="152"/>
    </row>
    <row r="30" spans="1:4" s="3" customFormat="1" ht="26.4" x14ac:dyDescent="0.25">
      <c r="A30" s="88" t="s">
        <v>55</v>
      </c>
      <c r="B30" s="112" t="s">
        <v>68</v>
      </c>
      <c r="C30" s="113">
        <f>+'Formula Factors'!F21</f>
        <v>14825000</v>
      </c>
      <c r="D30" s="48"/>
    </row>
    <row r="31" spans="1:4" s="3" customFormat="1" ht="18" customHeight="1" x14ac:dyDescent="0.25">
      <c r="A31" s="90" t="s">
        <v>22</v>
      </c>
      <c r="B31" s="91" t="s">
        <v>23</v>
      </c>
      <c r="C31" s="49">
        <f>+'Formula Factors'!F23</f>
        <v>25000</v>
      </c>
      <c r="D31" s="48"/>
    </row>
    <row r="32" spans="1:4" s="3" customFormat="1" ht="13.2" x14ac:dyDescent="0.25">
      <c r="A32" s="90"/>
      <c r="B32" s="91"/>
      <c r="C32" s="62"/>
      <c r="D32" s="48"/>
    </row>
    <row r="33" spans="1:4" s="3" customFormat="1" ht="13.2" x14ac:dyDescent="0.25">
      <c r="A33" s="92" t="s">
        <v>24</v>
      </c>
      <c r="B33" s="50" t="s">
        <v>82</v>
      </c>
      <c r="C33" s="114"/>
      <c r="D33" s="114"/>
    </row>
    <row r="34" spans="1:4" s="3" customFormat="1" ht="26.4" x14ac:dyDescent="0.25">
      <c r="A34" s="90"/>
      <c r="B34" s="63" t="s">
        <v>81</v>
      </c>
      <c r="C34" s="62"/>
      <c r="D34" s="51">
        <f>SUM(C30:C31)</f>
        <v>14850000</v>
      </c>
    </row>
    <row r="35" spans="1:4" s="3" customFormat="1" ht="13.2" x14ac:dyDescent="0.25">
      <c r="A35" s="92"/>
      <c r="B35" s="50"/>
      <c r="C35" s="48"/>
      <c r="D35" s="48"/>
    </row>
    <row r="36" spans="1:4" s="3" customFormat="1" ht="12.75" customHeight="1" x14ac:dyDescent="0.25">
      <c r="A36" s="115" t="s">
        <v>29</v>
      </c>
      <c r="B36" s="50" t="s">
        <v>56</v>
      </c>
      <c r="C36" s="77">
        <f>-'Formula Factors'!D43</f>
        <v>-285000</v>
      </c>
      <c r="D36" s="48"/>
    </row>
    <row r="37" spans="1:4" s="3" customFormat="1" ht="13.2" x14ac:dyDescent="0.25">
      <c r="A37" s="92"/>
      <c r="B37" s="50"/>
      <c r="C37" s="48"/>
      <c r="D37" s="48"/>
    </row>
    <row r="38" spans="1:4" s="3" customFormat="1" ht="26.4" x14ac:dyDescent="0.25">
      <c r="A38" s="116" t="s">
        <v>26</v>
      </c>
      <c r="B38" s="50" t="s">
        <v>84</v>
      </c>
      <c r="C38" s="48"/>
      <c r="D38" s="48"/>
    </row>
    <row r="39" spans="1:4" s="3" customFormat="1" ht="26.4" x14ac:dyDescent="0.25">
      <c r="A39" s="90"/>
      <c r="B39" s="63" t="s">
        <v>83</v>
      </c>
      <c r="C39" s="62"/>
      <c r="D39" s="74">
        <f>D34+C36</f>
        <v>14565000</v>
      </c>
    </row>
    <row r="40" spans="1:4" s="3" customFormat="1" ht="13.2" x14ac:dyDescent="0.25">
      <c r="A40" s="92"/>
      <c r="B40" s="50"/>
      <c r="C40" s="47"/>
      <c r="D40" s="48"/>
    </row>
    <row r="41" spans="1:4" s="3" customFormat="1" ht="13.2" x14ac:dyDescent="0.25">
      <c r="A41" s="90" t="s">
        <v>7</v>
      </c>
      <c r="B41" s="52" t="s">
        <v>85</v>
      </c>
      <c r="C41" s="47"/>
      <c r="D41" s="48"/>
    </row>
    <row r="42" spans="1:4" s="3" customFormat="1" ht="12.75" customHeight="1" x14ac:dyDescent="0.25">
      <c r="A42" s="90"/>
      <c r="B42" s="117" t="s">
        <v>86</v>
      </c>
      <c r="C42" s="53">
        <f>+'Formula Factors'!F28</f>
        <v>5.2</v>
      </c>
      <c r="D42" s="48"/>
    </row>
    <row r="43" spans="1:4" s="3" customFormat="1" ht="13.2" x14ac:dyDescent="0.25">
      <c r="A43" s="90"/>
      <c r="B43" s="52"/>
      <c r="C43" s="54"/>
      <c r="D43" s="48"/>
    </row>
    <row r="44" spans="1:4" s="3" customFormat="1" ht="13.2" x14ac:dyDescent="0.25">
      <c r="A44" s="90" t="s">
        <v>31</v>
      </c>
      <c r="B44" s="52" t="s">
        <v>88</v>
      </c>
      <c r="C44" s="54"/>
      <c r="D44" s="54"/>
    </row>
    <row r="45" spans="1:4" s="3" customFormat="1" ht="26.4" x14ac:dyDescent="0.25">
      <c r="A45" s="90"/>
      <c r="B45" s="117" t="s">
        <v>87</v>
      </c>
      <c r="C45" s="54"/>
      <c r="D45" s="55">
        <f>ROUND(D39*C42/1000,2)</f>
        <v>75738</v>
      </c>
    </row>
    <row r="46" spans="1:4" s="3" customFormat="1" ht="13.2" x14ac:dyDescent="0.25">
      <c r="A46" s="90"/>
      <c r="B46" s="52"/>
      <c r="C46" s="54"/>
      <c r="D46" s="55"/>
    </row>
    <row r="47" spans="1:4" s="3" customFormat="1" ht="26.4" x14ac:dyDescent="0.25">
      <c r="A47" s="118" t="s">
        <v>32</v>
      </c>
      <c r="B47" s="56" t="s">
        <v>33</v>
      </c>
      <c r="C47" s="57">
        <f>+'Formula Factors'!F38</f>
        <v>0.20125499999999999</v>
      </c>
      <c r="D47" s="55"/>
    </row>
    <row r="48" spans="1:4" s="3" customFormat="1" ht="13.2" x14ac:dyDescent="0.25">
      <c r="A48" s="90"/>
      <c r="B48" s="52"/>
      <c r="C48" s="54"/>
      <c r="D48" s="48"/>
    </row>
    <row r="49" spans="1:4" s="3" customFormat="1" ht="26.4" x14ac:dyDescent="0.25">
      <c r="A49" s="118" t="s">
        <v>32</v>
      </c>
      <c r="B49" s="52" t="s">
        <v>34</v>
      </c>
      <c r="C49" s="54"/>
      <c r="D49" s="54"/>
    </row>
    <row r="50" spans="1:4" s="3" customFormat="1" ht="25.5" customHeight="1" thickBot="1" x14ac:dyDescent="0.3">
      <c r="A50" s="90"/>
      <c r="B50" s="117" t="s">
        <v>89</v>
      </c>
      <c r="C50" s="54"/>
      <c r="D50" s="58">
        <f>ROUND(D45*C47,2)</f>
        <v>15242.65</v>
      </c>
    </row>
    <row r="51" spans="1:4" s="3" customFormat="1" ht="13.8" thickTop="1" x14ac:dyDescent="0.25">
      <c r="A51" s="92"/>
      <c r="B51" s="50"/>
      <c r="C51" s="47"/>
      <c r="D51" s="48"/>
    </row>
    <row r="52" spans="1:4" s="3" customFormat="1" ht="26.25" customHeight="1" x14ac:dyDescent="0.25">
      <c r="A52" s="87"/>
      <c r="B52" s="152" t="s">
        <v>36</v>
      </c>
      <c r="C52" s="152"/>
      <c r="D52" s="152"/>
    </row>
    <row r="53" spans="1:4" s="3" customFormat="1" ht="26.4" x14ac:dyDescent="0.25">
      <c r="A53" s="88" t="s">
        <v>55</v>
      </c>
      <c r="B53" s="112" t="s">
        <v>68</v>
      </c>
      <c r="C53" s="113">
        <f>+'Formula Factors'!F21</f>
        <v>14825000</v>
      </c>
      <c r="D53" s="48"/>
    </row>
    <row r="54" spans="1:4" s="3" customFormat="1" ht="18" customHeight="1" x14ac:dyDescent="0.25">
      <c r="A54" s="90" t="s">
        <v>22</v>
      </c>
      <c r="B54" s="91" t="s">
        <v>23</v>
      </c>
      <c r="C54" s="49">
        <f>+'Formula Factors'!F23</f>
        <v>25000</v>
      </c>
      <c r="D54" s="48"/>
    </row>
    <row r="55" spans="1:4" s="3" customFormat="1" ht="13.2" x14ac:dyDescent="0.25">
      <c r="A55" s="92"/>
      <c r="B55" s="50"/>
      <c r="C55" s="47"/>
      <c r="D55" s="48"/>
    </row>
    <row r="56" spans="1:4" s="3" customFormat="1" ht="13.2" x14ac:dyDescent="0.25">
      <c r="A56" s="92" t="s">
        <v>24</v>
      </c>
      <c r="B56" s="50" t="s">
        <v>82</v>
      </c>
      <c r="C56" s="47"/>
      <c r="D56" s="47"/>
    </row>
    <row r="57" spans="1:4" s="3" customFormat="1" ht="26.4" x14ac:dyDescent="0.25">
      <c r="A57" s="92"/>
      <c r="B57" s="123" t="s">
        <v>81</v>
      </c>
      <c r="C57" s="47"/>
      <c r="D57" s="51">
        <f>SUM(C53:C54)</f>
        <v>14850000</v>
      </c>
    </row>
    <row r="58" spans="1:4" s="3" customFormat="1" ht="13.2" x14ac:dyDescent="0.25">
      <c r="A58" s="92"/>
      <c r="B58" s="50"/>
      <c r="C58" s="47"/>
      <c r="D58" s="48"/>
    </row>
    <row r="59" spans="1:4" s="3" customFormat="1" ht="12.75" customHeight="1" x14ac:dyDescent="0.25">
      <c r="A59" s="116" t="s">
        <v>26</v>
      </c>
      <c r="B59" s="50" t="s">
        <v>69</v>
      </c>
      <c r="C59" s="77">
        <f>-'Formula Factors'!D44</f>
        <v>-285000</v>
      </c>
      <c r="D59" s="48"/>
    </row>
    <row r="60" spans="1:4" s="3" customFormat="1" ht="13.2" x14ac:dyDescent="0.25">
      <c r="A60" s="92"/>
      <c r="B60" s="50"/>
      <c r="C60" s="47"/>
      <c r="D60" s="48"/>
    </row>
    <row r="61" spans="1:4" s="3" customFormat="1" ht="26.4" x14ac:dyDescent="0.25">
      <c r="A61" s="116" t="s">
        <v>26</v>
      </c>
      <c r="B61" s="50" t="s">
        <v>91</v>
      </c>
      <c r="C61" s="48"/>
      <c r="D61" s="48"/>
    </row>
    <row r="62" spans="1:4" s="3" customFormat="1" ht="26.4" x14ac:dyDescent="0.25">
      <c r="A62" s="92"/>
      <c r="B62" s="123" t="s">
        <v>92</v>
      </c>
      <c r="C62" s="48"/>
      <c r="D62" s="74">
        <f>D57+C59</f>
        <v>14565000</v>
      </c>
    </row>
    <row r="63" spans="1:4" s="3" customFormat="1" ht="13.2" x14ac:dyDescent="0.25">
      <c r="A63" s="92"/>
      <c r="B63" s="50"/>
      <c r="C63" s="47"/>
      <c r="D63" s="48"/>
    </row>
    <row r="64" spans="1:4" s="3" customFormat="1" ht="13.2" x14ac:dyDescent="0.25">
      <c r="A64" s="118" t="s">
        <v>7</v>
      </c>
      <c r="B64" s="52" t="s">
        <v>93</v>
      </c>
      <c r="C64" s="47"/>
      <c r="D64" s="48"/>
    </row>
    <row r="65" spans="1:4" s="3" customFormat="1" ht="26.4" x14ac:dyDescent="0.25">
      <c r="A65" s="118"/>
      <c r="B65" s="117" t="s">
        <v>94</v>
      </c>
      <c r="C65" s="53">
        <f>+'Formula Factors'!F29</f>
        <v>1.5</v>
      </c>
      <c r="D65" s="48"/>
    </row>
    <row r="66" spans="1:4" s="3" customFormat="1" ht="13.2" x14ac:dyDescent="0.25">
      <c r="A66" s="90"/>
      <c r="B66" s="52"/>
      <c r="C66" s="54"/>
      <c r="D66" s="48"/>
    </row>
    <row r="67" spans="1:4" s="3" customFormat="1" ht="26.4" x14ac:dyDescent="0.25">
      <c r="A67" s="118" t="s">
        <v>37</v>
      </c>
      <c r="B67" s="52" t="s">
        <v>38</v>
      </c>
      <c r="C67" s="54"/>
      <c r="D67" s="54"/>
    </row>
    <row r="68" spans="1:4" s="3" customFormat="1" ht="27" customHeight="1" thickBot="1" x14ac:dyDescent="0.3">
      <c r="A68" s="118"/>
      <c r="B68" s="117" t="s">
        <v>95</v>
      </c>
      <c r="C68" s="54"/>
      <c r="D68" s="58">
        <f>ROUND(D62*C65/1000,2)</f>
        <v>21847.5</v>
      </c>
    </row>
    <row r="69" spans="1:4" s="3" customFormat="1" ht="13.8" thickTop="1" x14ac:dyDescent="0.25">
      <c r="A69" s="90"/>
      <c r="B69" s="52"/>
      <c r="C69" s="54"/>
      <c r="D69" s="55"/>
    </row>
    <row r="70" spans="1:4" s="3" customFormat="1" ht="13.2" x14ac:dyDescent="0.25">
      <c r="A70" s="87"/>
      <c r="B70" s="152" t="s">
        <v>57</v>
      </c>
      <c r="C70" s="152"/>
      <c r="D70" s="152"/>
    </row>
    <row r="71" spans="1:4" s="3" customFormat="1" ht="13.2" x14ac:dyDescent="0.25">
      <c r="A71" s="90"/>
      <c r="B71" s="52"/>
      <c r="C71" s="54"/>
      <c r="D71" s="55"/>
    </row>
    <row r="72" spans="1:4" s="3" customFormat="1" ht="26.4" x14ac:dyDescent="0.25">
      <c r="A72" s="118" t="s">
        <v>32</v>
      </c>
      <c r="B72" s="52" t="s">
        <v>34</v>
      </c>
      <c r="C72" s="54"/>
      <c r="D72" s="55">
        <f>+D50</f>
        <v>15242.65</v>
      </c>
    </row>
    <row r="73" spans="1:4" s="3" customFormat="1" ht="26.4" x14ac:dyDescent="0.25">
      <c r="A73" s="118" t="s">
        <v>37</v>
      </c>
      <c r="B73" s="52" t="s">
        <v>38</v>
      </c>
      <c r="C73" s="54"/>
      <c r="D73" s="59">
        <f>+D68</f>
        <v>21847.5</v>
      </c>
    </row>
    <row r="74" spans="1:4" s="3" customFormat="1" ht="13.2" x14ac:dyDescent="0.25">
      <c r="A74" s="90"/>
      <c r="B74" s="52"/>
      <c r="C74" s="54"/>
      <c r="D74" s="60"/>
    </row>
    <row r="75" spans="1:4" s="3" customFormat="1" ht="27" thickBot="1" x14ac:dyDescent="0.3">
      <c r="A75" s="124" t="s">
        <v>59</v>
      </c>
      <c r="B75" s="125" t="s">
        <v>96</v>
      </c>
      <c r="C75" s="54"/>
      <c r="D75" s="54"/>
    </row>
    <row r="76" spans="1:4" s="3" customFormat="1" ht="38.25" customHeight="1" thickBot="1" x14ac:dyDescent="0.3">
      <c r="A76" s="124"/>
      <c r="B76" s="117" t="s">
        <v>97</v>
      </c>
      <c r="C76" s="54"/>
      <c r="D76" s="61">
        <f>MIN(D27,SUM(D72:D73))</f>
        <v>37090.15</v>
      </c>
    </row>
    <row r="77" spans="1:4" s="3" customFormat="1" ht="13.2" x14ac:dyDescent="0.25">
      <c r="A77" s="90"/>
      <c r="B77" s="52"/>
      <c r="C77" s="54"/>
      <c r="D77" s="55"/>
    </row>
    <row r="78" spans="1:4" s="3" customFormat="1" ht="13.2" x14ac:dyDescent="0.25">
      <c r="A78" s="94"/>
      <c r="B78" s="153" t="s">
        <v>39</v>
      </c>
      <c r="C78" s="153"/>
      <c r="D78" s="153"/>
    </row>
    <row r="79" spans="1:4" s="129" customFormat="1" ht="26.4" x14ac:dyDescent="0.25">
      <c r="A79" s="127" t="s">
        <v>58</v>
      </c>
      <c r="B79" s="128" t="s">
        <v>98</v>
      </c>
      <c r="D79" s="130"/>
    </row>
    <row r="80" spans="1:4" s="3" customFormat="1" ht="26.4" x14ac:dyDescent="0.25">
      <c r="A80" s="95"/>
      <c r="B80" s="126" t="s">
        <v>99</v>
      </c>
      <c r="C80" s="64">
        <f>MAX('Formula Factors'!F13,'Formula Factors'!F17)</f>
        <v>1075000</v>
      </c>
      <c r="D80" s="65"/>
    </row>
    <row r="81" spans="1:4" s="3" customFormat="1" ht="13.2" x14ac:dyDescent="0.25">
      <c r="A81" s="96" t="s">
        <v>7</v>
      </c>
      <c r="B81" s="66" t="s">
        <v>100</v>
      </c>
      <c r="D81" s="68"/>
    </row>
    <row r="82" spans="1:4" s="3" customFormat="1" ht="12.75" customHeight="1" x14ac:dyDescent="0.25">
      <c r="A82" s="96"/>
      <c r="B82" s="132" t="s">
        <v>73</v>
      </c>
      <c r="C82" s="67">
        <f>+'Formula Factors'!F28+'Formula Factors'!F29+'Formula Factors'!F30</f>
        <v>6.7</v>
      </c>
      <c r="D82" s="68"/>
    </row>
    <row r="83" spans="1:4" s="3" customFormat="1" ht="12.75" customHeight="1" x14ac:dyDescent="0.25">
      <c r="A83" s="96"/>
      <c r="B83" s="132"/>
      <c r="C83" s="131"/>
      <c r="D83" s="68"/>
    </row>
    <row r="84" spans="1:4" s="3" customFormat="1" ht="13.2" x14ac:dyDescent="0.25">
      <c r="A84" s="98" t="s">
        <v>40</v>
      </c>
      <c r="B84" s="69" t="s">
        <v>101</v>
      </c>
      <c r="C84" s="68"/>
    </row>
    <row r="85" spans="1:4" s="3" customFormat="1" ht="26.4" x14ac:dyDescent="0.25">
      <c r="A85" s="98"/>
      <c r="B85" s="133" t="s">
        <v>102</v>
      </c>
      <c r="C85" s="68"/>
      <c r="D85" s="70">
        <f>MAX(ROUND((C80*C82)/1000,2),0)</f>
        <v>7202.5</v>
      </c>
    </row>
    <row r="86" spans="1:4" s="3" customFormat="1" ht="13.2" x14ac:dyDescent="0.25">
      <c r="A86" s="98"/>
      <c r="B86" s="69"/>
      <c r="C86" s="70"/>
      <c r="D86" s="68"/>
    </row>
    <row r="87" spans="1:4" s="129" customFormat="1" ht="26.4" x14ac:dyDescent="0.25">
      <c r="A87" s="127" t="s">
        <v>58</v>
      </c>
      <c r="B87" s="128" t="s">
        <v>103</v>
      </c>
      <c r="D87" s="130"/>
    </row>
    <row r="88" spans="1:4" s="3" customFormat="1" ht="13.2" x14ac:dyDescent="0.25">
      <c r="A88" s="95"/>
      <c r="B88" s="126" t="s">
        <v>104</v>
      </c>
      <c r="C88" s="64">
        <f>MAX('Formula Factors'!F11,'Formula Factors'!F15)</f>
        <v>1200000</v>
      </c>
      <c r="D88" s="65"/>
    </row>
    <row r="89" spans="1:4" s="3" customFormat="1" ht="13.2" x14ac:dyDescent="0.25">
      <c r="A89" s="96" t="s">
        <v>7</v>
      </c>
      <c r="B89" s="66" t="s">
        <v>105</v>
      </c>
      <c r="D89" s="68"/>
    </row>
    <row r="90" spans="1:4" s="3" customFormat="1" ht="13.2" x14ac:dyDescent="0.25">
      <c r="A90" s="96"/>
      <c r="B90" s="132" t="s">
        <v>77</v>
      </c>
      <c r="C90" s="67">
        <f>+'Formula Factors'!F33</f>
        <v>0.25</v>
      </c>
      <c r="D90" s="68"/>
    </row>
    <row r="91" spans="1:4" s="3" customFormat="1" ht="13.2" x14ac:dyDescent="0.25">
      <c r="A91" s="96"/>
      <c r="B91" s="132"/>
      <c r="C91" s="131"/>
      <c r="D91" s="68"/>
    </row>
    <row r="92" spans="1:4" s="3" customFormat="1" ht="13.2" x14ac:dyDescent="0.25">
      <c r="A92" s="98" t="s">
        <v>40</v>
      </c>
      <c r="B92" s="69" t="s">
        <v>106</v>
      </c>
      <c r="C92" s="68"/>
    </row>
    <row r="93" spans="1:4" s="3" customFormat="1" ht="13.2" x14ac:dyDescent="0.25">
      <c r="A93" s="98"/>
      <c r="B93" s="133" t="s">
        <v>107</v>
      </c>
      <c r="C93" s="68"/>
      <c r="D93" s="71">
        <f>MAX(ROUND((C88*C90)/1000,2),0)</f>
        <v>300</v>
      </c>
    </row>
    <row r="94" spans="1:4" s="3" customFormat="1" ht="13.2" x14ac:dyDescent="0.25">
      <c r="A94" s="98"/>
      <c r="B94" s="69"/>
      <c r="C94" s="70"/>
      <c r="D94" s="68"/>
    </row>
    <row r="95" spans="1:4" s="3" customFormat="1" ht="13.2" x14ac:dyDescent="0.25">
      <c r="A95" s="98" t="s">
        <v>40</v>
      </c>
      <c r="B95" s="69" t="s">
        <v>42</v>
      </c>
      <c r="C95" s="70"/>
      <c r="D95" s="72">
        <f>D85+D93</f>
        <v>7502.5</v>
      </c>
    </row>
    <row r="96" spans="1:4" s="3" customFormat="1" ht="13.2" x14ac:dyDescent="0.25">
      <c r="A96" s="98"/>
      <c r="B96" s="69"/>
      <c r="C96" s="70"/>
      <c r="D96" s="68"/>
    </row>
    <row r="97" spans="1:4" s="3" customFormat="1" ht="39.6" x14ac:dyDescent="0.25">
      <c r="A97" s="134" t="s">
        <v>30</v>
      </c>
      <c r="B97" s="73" t="s">
        <v>41</v>
      </c>
      <c r="C97" s="70"/>
      <c r="D97" s="72">
        <f>-'Formula Factors'!F99</f>
        <v>0</v>
      </c>
    </row>
    <row r="98" spans="1:4" s="3" customFormat="1" ht="13.8" thickBot="1" x14ac:dyDescent="0.3">
      <c r="A98" s="97"/>
      <c r="B98" s="99"/>
      <c r="C98" s="70"/>
      <c r="D98" s="72"/>
    </row>
    <row r="99" spans="1:4" s="129" customFormat="1" ht="27" thickBot="1" x14ac:dyDescent="0.3">
      <c r="A99" s="135" t="s">
        <v>60</v>
      </c>
      <c r="B99" s="136" t="s">
        <v>43</v>
      </c>
      <c r="C99" s="137"/>
      <c r="D99" s="138">
        <f>+D95+D97</f>
        <v>7502.5</v>
      </c>
    </row>
    <row r="100" spans="1:4" s="129" customFormat="1" ht="13.2" x14ac:dyDescent="0.25">
      <c r="A100" s="135"/>
      <c r="B100" s="136"/>
      <c r="C100" s="137"/>
      <c r="D100" s="151"/>
    </row>
    <row r="101" spans="1:4" s="3" customFormat="1" ht="13.2" x14ac:dyDescent="0.25">
      <c r="A101" s="87"/>
      <c r="B101" s="152" t="s">
        <v>44</v>
      </c>
      <c r="C101" s="152"/>
      <c r="D101" s="152"/>
    </row>
    <row r="102" spans="1:4" s="3" customFormat="1" ht="13.2" x14ac:dyDescent="0.25">
      <c r="A102" s="89"/>
      <c r="B102" s="91"/>
      <c r="C102" s="47"/>
      <c r="D102" s="51"/>
    </row>
    <row r="103" spans="1:4" s="3" customFormat="1" ht="13.2" x14ac:dyDescent="0.25">
      <c r="A103" s="92" t="s">
        <v>18</v>
      </c>
      <c r="B103" s="50" t="s">
        <v>28</v>
      </c>
      <c r="C103" s="48"/>
      <c r="D103" s="74">
        <f>+D27</f>
        <v>101096.75</v>
      </c>
    </row>
    <row r="104" spans="1:4" s="3" customFormat="1" ht="13.2" x14ac:dyDescent="0.25">
      <c r="A104" s="92"/>
      <c r="B104" s="50"/>
      <c r="C104" s="48"/>
      <c r="D104" s="74"/>
    </row>
    <row r="105" spans="1:4" s="129" customFormat="1" ht="26.4" x14ac:dyDescent="0.25">
      <c r="A105" s="139" t="s">
        <v>59</v>
      </c>
      <c r="B105" s="125" t="s">
        <v>108</v>
      </c>
      <c r="C105" s="140"/>
      <c r="D105" s="140"/>
    </row>
    <row r="106" spans="1:4" s="3" customFormat="1" ht="38.25" customHeight="1" x14ac:dyDescent="0.25">
      <c r="A106" s="93"/>
      <c r="B106" s="117" t="s">
        <v>97</v>
      </c>
      <c r="C106" s="48"/>
      <c r="D106" s="141">
        <f>-D76</f>
        <v>-37090.15</v>
      </c>
    </row>
    <row r="107" spans="1:4" s="3" customFormat="1" ht="13.2" x14ac:dyDescent="0.25">
      <c r="A107" s="93"/>
      <c r="B107" s="117"/>
      <c r="C107" s="48"/>
      <c r="D107" s="141"/>
    </row>
    <row r="108" spans="1:4" s="3" customFormat="1" ht="13.2" x14ac:dyDescent="0.25">
      <c r="A108" s="145"/>
      <c r="B108" s="143" t="s">
        <v>111</v>
      </c>
      <c r="C108" s="144"/>
      <c r="D108" s="141"/>
    </row>
    <row r="109" spans="1:4" s="3" customFormat="1" ht="13.2" x14ac:dyDescent="0.25">
      <c r="A109" s="93"/>
      <c r="B109" s="91" t="s">
        <v>23</v>
      </c>
      <c r="C109" s="62">
        <f>+'Formula Factors'!F23</f>
        <v>25000</v>
      </c>
      <c r="D109" s="48"/>
    </row>
    <row r="110" spans="1:4" s="3" customFormat="1" ht="13.2" x14ac:dyDescent="0.25">
      <c r="A110" s="93"/>
      <c r="B110" s="91"/>
      <c r="C110" s="62"/>
      <c r="D110" s="48"/>
    </row>
    <row r="111" spans="1:4" s="3" customFormat="1" ht="13.2" x14ac:dyDescent="0.25">
      <c r="A111" s="93"/>
      <c r="B111" s="52" t="s">
        <v>85</v>
      </c>
      <c r="C111" s="48"/>
      <c r="D111" s="48"/>
    </row>
    <row r="112" spans="1:4" s="3" customFormat="1" ht="13.2" x14ac:dyDescent="0.25">
      <c r="A112" s="93"/>
      <c r="B112" s="117" t="s">
        <v>86</v>
      </c>
      <c r="C112" s="54">
        <f>+'Formula Factors'!F28</f>
        <v>5.2</v>
      </c>
      <c r="D112" s="48"/>
    </row>
    <row r="113" spans="1:4" s="3" customFormat="1" ht="26.4" x14ac:dyDescent="0.25">
      <c r="A113" s="93"/>
      <c r="B113" s="56" t="s">
        <v>33</v>
      </c>
      <c r="C113" s="57">
        <f>+'Formula Factors'!F38</f>
        <v>0.20125499999999999</v>
      </c>
      <c r="D113" s="48"/>
    </row>
    <row r="114" spans="1:4" s="3" customFormat="1" ht="13.2" x14ac:dyDescent="0.25">
      <c r="A114" s="93"/>
      <c r="B114" s="56"/>
      <c r="C114" s="142"/>
      <c r="D114" s="48"/>
    </row>
    <row r="115" spans="1:4" s="3" customFormat="1" ht="12.75" customHeight="1" x14ac:dyDescent="0.25">
      <c r="A115" s="124" t="s">
        <v>61</v>
      </c>
      <c r="B115" s="52" t="s">
        <v>109</v>
      </c>
      <c r="C115" s="51"/>
      <c r="D115" s="51"/>
    </row>
    <row r="116" spans="1:4" s="3" customFormat="1" ht="39" customHeight="1" x14ac:dyDescent="0.25">
      <c r="A116" s="93"/>
      <c r="B116" s="117" t="s">
        <v>110</v>
      </c>
      <c r="C116" s="51"/>
      <c r="D116" s="48">
        <f>ROUND((C109*C112*C113)/1000,2)</f>
        <v>26.16</v>
      </c>
    </row>
    <row r="117" spans="1:4" s="3" customFormat="1" ht="13.2" x14ac:dyDescent="0.25">
      <c r="A117" s="93"/>
      <c r="B117" s="52"/>
      <c r="C117" s="51"/>
      <c r="D117" s="48"/>
    </row>
    <row r="118" spans="1:4" s="3" customFormat="1" ht="13.2" x14ac:dyDescent="0.25">
      <c r="A118" s="145"/>
      <c r="B118" s="143" t="s">
        <v>112</v>
      </c>
      <c r="C118" s="144"/>
      <c r="D118" s="48"/>
    </row>
    <row r="119" spans="1:4" s="3" customFormat="1" ht="13.2" x14ac:dyDescent="0.25">
      <c r="A119" s="93"/>
      <c r="B119" s="91" t="s">
        <v>23</v>
      </c>
      <c r="C119" s="62">
        <f>+'Formula Factors'!F23</f>
        <v>25000</v>
      </c>
      <c r="D119" s="48"/>
    </row>
    <row r="120" spans="1:4" s="3" customFormat="1" ht="13.2" x14ac:dyDescent="0.25">
      <c r="A120" s="93"/>
      <c r="B120" s="91"/>
      <c r="C120" s="62"/>
      <c r="D120" s="48"/>
    </row>
    <row r="121" spans="1:4" s="3" customFormat="1" ht="13.2" x14ac:dyDescent="0.25">
      <c r="A121" s="93"/>
      <c r="B121" s="52" t="s">
        <v>93</v>
      </c>
      <c r="C121" s="48"/>
      <c r="D121" s="48"/>
    </row>
    <row r="122" spans="1:4" s="3" customFormat="1" ht="26.4" x14ac:dyDescent="0.25">
      <c r="A122" s="93"/>
      <c r="B122" s="117" t="s">
        <v>94</v>
      </c>
      <c r="C122" s="75">
        <f>+'Formula Factors'!F29</f>
        <v>1.5</v>
      </c>
      <c r="D122" s="48"/>
    </row>
    <row r="123" spans="1:4" s="3" customFormat="1" ht="26.4" x14ac:dyDescent="0.25">
      <c r="A123" s="124" t="s">
        <v>61</v>
      </c>
      <c r="B123" s="52" t="s">
        <v>113</v>
      </c>
      <c r="C123" s="51"/>
      <c r="D123" s="51"/>
    </row>
    <row r="124" spans="1:4" s="3" customFormat="1" ht="25.5" customHeight="1" x14ac:dyDescent="0.25">
      <c r="A124" s="93"/>
      <c r="B124" s="117" t="s">
        <v>114</v>
      </c>
      <c r="C124" s="51"/>
      <c r="D124" s="76">
        <f>ROUND((C119*C122)/1000,2)</f>
        <v>37.5</v>
      </c>
    </row>
    <row r="125" spans="1:4" s="3" customFormat="1" ht="13.2" x14ac:dyDescent="0.25">
      <c r="A125" s="93"/>
      <c r="B125" s="52"/>
      <c r="C125" s="51"/>
      <c r="D125" s="76"/>
    </row>
    <row r="126" spans="1:4" s="129" customFormat="1" ht="26.4" x14ac:dyDescent="0.25">
      <c r="A126" s="146" t="s">
        <v>60</v>
      </c>
      <c r="B126" s="147" t="s">
        <v>62</v>
      </c>
      <c r="C126" s="140"/>
      <c r="D126" s="77">
        <f>-D99</f>
        <v>-7502.5</v>
      </c>
    </row>
    <row r="127" spans="1:4" s="3" customFormat="1" ht="13.2" x14ac:dyDescent="0.25">
      <c r="A127" s="89"/>
      <c r="B127" s="91"/>
      <c r="C127" s="47"/>
      <c r="D127" s="47"/>
    </row>
    <row r="128" spans="1:4" s="3" customFormat="1" ht="13.2" x14ac:dyDescent="0.25">
      <c r="A128" s="89" t="s">
        <v>45</v>
      </c>
      <c r="B128" s="56" t="s">
        <v>115</v>
      </c>
      <c r="C128" s="47"/>
      <c r="D128" s="51"/>
    </row>
    <row r="129" spans="1:5" s="3" customFormat="1" ht="51" customHeight="1" x14ac:dyDescent="0.25">
      <c r="A129" s="89"/>
      <c r="B129" s="63" t="s">
        <v>116</v>
      </c>
      <c r="C129" s="47"/>
      <c r="D129" s="77">
        <f>SUM(D103:D126)</f>
        <v>56567.76</v>
      </c>
    </row>
    <row r="130" spans="1:5" s="3" customFormat="1" ht="13.2" x14ac:dyDescent="0.25">
      <c r="A130" s="89"/>
      <c r="B130" s="91"/>
      <c r="C130" s="47"/>
      <c r="D130" s="51"/>
    </row>
    <row r="131" spans="1:5" s="3" customFormat="1" ht="13.8" thickBot="1" x14ac:dyDescent="0.3">
      <c r="A131" s="89" t="s">
        <v>45</v>
      </c>
      <c r="B131" s="56" t="s">
        <v>117</v>
      </c>
      <c r="C131" s="47"/>
      <c r="D131" s="51"/>
    </row>
    <row r="132" spans="1:5" s="3" customFormat="1" ht="27" thickBot="1" x14ac:dyDescent="0.3">
      <c r="A132" s="89"/>
      <c r="B132" s="63" t="s">
        <v>118</v>
      </c>
      <c r="C132" s="47"/>
      <c r="D132" s="78" t="s">
        <v>46</v>
      </c>
    </row>
    <row r="133" spans="1:5" s="3" customFormat="1" ht="13.2" x14ac:dyDescent="0.25">
      <c r="A133" s="89"/>
      <c r="B133" s="91"/>
      <c r="C133" s="47"/>
      <c r="D133" s="51"/>
    </row>
    <row r="134" spans="1:5" s="3" customFormat="1" ht="13.2" x14ac:dyDescent="0.25">
      <c r="A134" s="80"/>
      <c r="B134" s="2"/>
      <c r="C134" s="5"/>
      <c r="D134" s="5"/>
    </row>
    <row r="135" spans="1:5" s="3" customFormat="1" ht="13.2" x14ac:dyDescent="0.25">
      <c r="A135" s="80"/>
      <c r="B135" s="2"/>
      <c r="C135" s="5"/>
      <c r="D135" s="5"/>
    </row>
    <row r="136" spans="1:5" s="3" customFormat="1" ht="15.6" x14ac:dyDescent="0.3">
      <c r="A136" s="80"/>
      <c r="C136" s="148" t="s">
        <v>120</v>
      </c>
      <c r="D136" s="149">
        <f>+D76+D99+D129</f>
        <v>101160.41</v>
      </c>
      <c r="E136" s="149"/>
    </row>
    <row r="137" spans="1:5" s="3" customFormat="1" ht="13.2" x14ac:dyDescent="0.25">
      <c r="A137" s="80"/>
      <c r="B137" s="2"/>
      <c r="C137" s="5"/>
      <c r="D137" s="5"/>
    </row>
    <row r="138" spans="1:5" s="3" customFormat="1" ht="15.6" x14ac:dyDescent="0.3">
      <c r="A138" s="80"/>
      <c r="B138" s="2"/>
      <c r="C138" s="148" t="s">
        <v>121</v>
      </c>
      <c r="D138" s="149">
        <f>+D76+D99+D129*0.95</f>
        <v>98332.021999999997</v>
      </c>
    </row>
    <row r="139" spans="1:5" s="3" customFormat="1" ht="13.2" x14ac:dyDescent="0.25">
      <c r="A139" s="80"/>
      <c r="B139" s="2"/>
      <c r="C139" s="5"/>
      <c r="D139" s="5"/>
    </row>
    <row r="140" spans="1:5" s="3" customFormat="1" ht="15.6" x14ac:dyDescent="0.3">
      <c r="A140" s="80"/>
      <c r="B140" s="2"/>
      <c r="C140" s="148" t="s">
        <v>122</v>
      </c>
      <c r="D140" s="149">
        <f>+D76+D99+D129*1.05</f>
        <v>103988.79800000001</v>
      </c>
    </row>
    <row r="141" spans="1:5" s="3" customFormat="1" ht="13.2" x14ac:dyDescent="0.25">
      <c r="A141" s="80"/>
      <c r="B141" s="2"/>
      <c r="C141" s="5"/>
      <c r="D141" s="5"/>
    </row>
    <row r="142" spans="1:5" s="3" customFormat="1" ht="13.2" x14ac:dyDescent="0.25">
      <c r="A142" s="80"/>
      <c r="B142" s="2"/>
      <c r="C142" s="5"/>
      <c r="D142" s="5"/>
    </row>
    <row r="143" spans="1:5" s="3" customFormat="1" ht="13.2" x14ac:dyDescent="0.25">
      <c r="A143" s="80"/>
      <c r="B143" s="2"/>
      <c r="C143" s="5"/>
      <c r="D143" s="5"/>
    </row>
    <row r="144" spans="1:5" s="3" customFormat="1" ht="13.2" x14ac:dyDescent="0.25">
      <c r="A144" s="80"/>
      <c r="B144" s="2"/>
      <c r="C144" s="5"/>
      <c r="D144" s="5"/>
    </row>
    <row r="145" spans="1:4" s="3" customFormat="1" ht="13.2" x14ac:dyDescent="0.25">
      <c r="A145" s="80"/>
      <c r="B145" s="2"/>
      <c r="C145" s="5"/>
      <c r="D145" s="5"/>
    </row>
    <row r="146" spans="1:4" s="3" customFormat="1" ht="13.2" x14ac:dyDescent="0.25">
      <c r="A146" s="80"/>
      <c r="B146" s="2"/>
      <c r="C146" s="5"/>
      <c r="D146" s="5"/>
    </row>
    <row r="147" spans="1:4" s="3" customFormat="1" ht="13.2" x14ac:dyDescent="0.25">
      <c r="A147" s="80"/>
      <c r="B147" s="2"/>
      <c r="C147" s="5"/>
      <c r="D147" s="5"/>
    </row>
    <row r="148" spans="1:4" s="3" customFormat="1" ht="13.2" x14ac:dyDescent="0.25">
      <c r="A148" s="80"/>
      <c r="B148" s="2"/>
      <c r="C148" s="5"/>
      <c r="D148" s="5"/>
    </row>
    <row r="149" spans="1:4" s="3" customFormat="1" ht="13.2" x14ac:dyDescent="0.25">
      <c r="A149" s="80"/>
      <c r="B149" s="2"/>
      <c r="C149" s="5"/>
      <c r="D149" s="5"/>
    </row>
    <row r="150" spans="1:4" s="3" customFormat="1" ht="13.2" x14ac:dyDescent="0.25">
      <c r="A150" s="80"/>
      <c r="B150" s="2"/>
      <c r="C150" s="5"/>
      <c r="D150" s="5"/>
    </row>
    <row r="151" spans="1:4" s="3" customFormat="1" ht="13.2" x14ac:dyDescent="0.25">
      <c r="A151" s="80"/>
      <c r="B151" s="2"/>
      <c r="C151" s="5"/>
      <c r="D151" s="5"/>
    </row>
    <row r="152" spans="1:4" s="3" customFormat="1" ht="13.2" x14ac:dyDescent="0.25">
      <c r="A152" s="80"/>
      <c r="B152" s="2"/>
      <c r="C152" s="5"/>
      <c r="D152" s="5"/>
    </row>
    <row r="153" spans="1:4" s="3" customFormat="1" ht="13.2" x14ac:dyDescent="0.25">
      <c r="A153" s="80"/>
      <c r="B153" s="2"/>
      <c r="C153" s="5"/>
      <c r="D153" s="5"/>
    </row>
    <row r="154" spans="1:4" s="3" customFormat="1" ht="13.2" x14ac:dyDescent="0.25">
      <c r="A154" s="80"/>
      <c r="B154" s="2"/>
      <c r="C154" s="5"/>
      <c r="D154" s="5"/>
    </row>
    <row r="155" spans="1:4" s="3" customFormat="1" ht="13.2" x14ac:dyDescent="0.25">
      <c r="A155" s="80"/>
      <c r="B155" s="2"/>
      <c r="C155" s="5"/>
      <c r="D155" s="5"/>
    </row>
    <row r="156" spans="1:4" s="3" customFormat="1" ht="13.2" x14ac:dyDescent="0.25">
      <c r="A156" s="80"/>
      <c r="B156" s="2"/>
      <c r="C156" s="5"/>
      <c r="D156" s="5"/>
    </row>
    <row r="157" spans="1:4" s="3" customFormat="1" ht="13.2" x14ac:dyDescent="0.25">
      <c r="A157" s="80"/>
      <c r="B157" s="2"/>
      <c r="C157" s="5"/>
      <c r="D157" s="5"/>
    </row>
    <row r="158" spans="1:4" s="3" customFormat="1" ht="13.2" x14ac:dyDescent="0.25">
      <c r="A158" s="80"/>
      <c r="B158" s="2"/>
      <c r="C158" s="5"/>
      <c r="D158" s="5"/>
    </row>
    <row r="159" spans="1:4" s="3" customFormat="1" ht="13.2" x14ac:dyDescent="0.25">
      <c r="A159" s="80"/>
      <c r="B159" s="2"/>
      <c r="C159" s="5"/>
      <c r="D159" s="5"/>
    </row>
    <row r="160" spans="1:4" s="3" customFormat="1" ht="13.2" x14ac:dyDescent="0.25">
      <c r="A160" s="80"/>
      <c r="B160" s="2"/>
      <c r="C160" s="5"/>
      <c r="D160" s="5"/>
    </row>
    <row r="161" spans="1:4" s="3" customFormat="1" ht="13.2" x14ac:dyDescent="0.25">
      <c r="A161" s="80"/>
      <c r="B161" s="2"/>
      <c r="C161" s="5"/>
      <c r="D161" s="5"/>
    </row>
    <row r="162" spans="1:4" s="3" customFormat="1" ht="13.2" x14ac:dyDescent="0.25">
      <c r="A162" s="80"/>
      <c r="B162" s="2"/>
      <c r="C162" s="5"/>
      <c r="D162" s="5"/>
    </row>
    <row r="163" spans="1:4" s="3" customFormat="1" ht="13.2" x14ac:dyDescent="0.25">
      <c r="A163" s="80"/>
      <c r="B163" s="2"/>
      <c r="C163" s="5"/>
      <c r="D163" s="5"/>
    </row>
    <row r="164" spans="1:4" s="3" customFormat="1" ht="13.2" x14ac:dyDescent="0.25">
      <c r="A164" s="80"/>
      <c r="B164" s="2"/>
      <c r="C164" s="5"/>
      <c r="D164" s="5"/>
    </row>
    <row r="165" spans="1:4" ht="13.2" x14ac:dyDescent="0.25">
      <c r="A165" s="80"/>
      <c r="B165" s="2"/>
      <c r="C165" s="5"/>
      <c r="D165" s="5"/>
    </row>
    <row r="166" spans="1:4" ht="13.2" x14ac:dyDescent="0.25">
      <c r="D166" s="5"/>
    </row>
  </sheetData>
  <mergeCells count="5">
    <mergeCell ref="B29:D29"/>
    <mergeCell ref="B52:D52"/>
    <mergeCell ref="B70:D70"/>
    <mergeCell ref="B78:D78"/>
    <mergeCell ref="B101:D101"/>
  </mergeCells>
  <pageMargins left="0.25" right="0.25" top="0.5" bottom="0.5" header="0.3" footer="0.3"/>
  <pageSetup scale="75" fitToHeight="3" orientation="portrait" r:id="rId1"/>
  <headerFooter>
    <oddFooter>&amp;LMichigan Department of Treasury&amp;C&amp;A&amp;RPage &amp;P</oddFooter>
  </headerFooter>
  <rowBreaks count="2" manualBreakCount="2">
    <brk id="57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Formula Factors</vt:lpstr>
      <vt:lpstr>Distribution Calculation</vt:lpstr>
      <vt:lpstr>'Distribution Calculation'!Print_Area</vt:lpstr>
      <vt:lpstr>'Formula Factors'!Print_Area</vt:lpstr>
      <vt:lpstr>'Distribution Calculation'!Print_Titles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Kolka, Carolyn A. (Treasury)</dc:creator>
  <cp:lastModifiedBy>Cole, Evah (Treasury)</cp:lastModifiedBy>
  <cp:lastPrinted>2016-08-04T20:36:31Z</cp:lastPrinted>
  <dcterms:created xsi:type="dcterms:W3CDTF">2016-06-28T13:24:13Z</dcterms:created>
  <dcterms:modified xsi:type="dcterms:W3CDTF">2016-09-19T18:37:57Z</dcterms:modified>
</cp:coreProperties>
</file>